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0" yWindow="0" windowWidth="19200" windowHeight="8568" tabRatio="934" activeTab="1"/>
  </bookViews>
  <sheets>
    <sheet name="Adviesformulier" sheetId="28" r:id="rId1"/>
    <sheet name="Rekenblad" sheetId="10" r:id="rId2"/>
    <sheet name="Lijst codes" sheetId="8" state="hidden" r:id="rId3"/>
    <sheet name="koppel ZZP budget" sheetId="5" state="hidden" r:id="rId4"/>
    <sheet name="Alles" sheetId="1" state="hidden" r:id="rId5"/>
    <sheet name="VPT" sheetId="2" state="hidden" r:id="rId6"/>
    <sheet name="ZZP" sheetId="3" state="hidden" r:id="rId7"/>
    <sheet name="VPT en ZZP" sheetId="4" state="hidden" r:id="rId8"/>
    <sheet name="PGB Bron" sheetId="6" state="hidden" r:id="rId9"/>
    <sheet name="PGB (2)" sheetId="7" state="hidden" r:id="rId10"/>
    <sheet name="Blad3" sheetId="11" state="hidden" r:id="rId11"/>
    <sheet name="Blad4" sheetId="12" state="hidden" r:id="rId12"/>
    <sheet name="Blad6" sheetId="14" state="hidden" r:id="rId13"/>
    <sheet name="Blad5" sheetId="13" state="hidden" r:id="rId14"/>
    <sheet name="Blad1" sheetId="15" state="hidden" r:id="rId15"/>
    <sheet name="Blad9" sheetId="19" state="hidden" r:id="rId16"/>
    <sheet name="Werkwijze rekenmodule" sheetId="20" r:id="rId17"/>
    <sheet name="Blad2" sheetId="21" state="hidden" r:id="rId18"/>
    <sheet name="Blad7" sheetId="22" state="hidden" r:id="rId19"/>
    <sheet name="Blad8" sheetId="23" state="hidden" r:id="rId20"/>
    <sheet name="Meerzorg onderbouwing" sheetId="32" r:id="rId21"/>
    <sheet name="PGB tarieven" sheetId="29" r:id="rId22"/>
    <sheet name="Tarieven ZIN prestaties" sheetId="30" r:id="rId23"/>
    <sheet name="Blad12" sheetId="31" state="hidden" r:id="rId24"/>
    <sheet name="Blad11" sheetId="33" state="hidden" r:id="rId25"/>
    <sheet name="Urentabel meerzorg" sheetId="34" r:id="rId26"/>
    <sheet name="Tarieven VPT" sheetId="35" r:id="rId27"/>
    <sheet name="Tarieven ZZP" sheetId="36" r:id="rId28"/>
    <sheet name="Ruimte behandeling basis MPT" sheetId="39" r:id="rId29"/>
    <sheet name="Pct verd. VBL dagbesteding" sheetId="37" r:id="rId30"/>
    <sheet name="Pct verd. VPT dagbesteding" sheetId="38" r:id="rId31"/>
  </sheets>
  <externalReferences>
    <externalReference r:id="rId32"/>
    <externalReference r:id="rId33"/>
  </externalReferences>
  <definedNames>
    <definedName name="_xlnm._FilterDatabase" localSheetId="4" hidden="1">Alles!$C$1:$M$110</definedName>
    <definedName name="_xlnm._FilterDatabase" localSheetId="9" hidden="1">'PGB (2)'!$A$14:$N$50</definedName>
    <definedName name="BGgrp">Rekenblad!$AE$8:$AE$38</definedName>
    <definedName name="BGind">Rekenblad!$AM$8:$AM$16</definedName>
    <definedName name="BH">Rekenblad!#REF!</definedName>
    <definedName name="BHd">Rekenblad!$AC$8:$AC$17</definedName>
    <definedName name="BHgrp">Rekenblad!$AD$8:$AD$17</definedName>
    <definedName name="BHind">Rekenblad!$AC$8:$AC$18</definedName>
    <definedName name="BHindi">Rekenblad!$AC$8:$AC$17</definedName>
    <definedName name="Dagbesteding">Rekenblad!$ET$110:$ET$126</definedName>
    <definedName name="flip">Rekenblad!#REF!</definedName>
    <definedName name="groep">Rekenblad!$CK$7:$CK$54</definedName>
    <definedName name="jan">Rekenblad!$V$8:$V$16</definedName>
    <definedName name="Keuze">Blad9!$A$2:$A$3</definedName>
    <definedName name="LG">Rekenblad!$Z$8:$Z$16</definedName>
    <definedName name="Licht">Rekenblad!$DO$8:$DO$22</definedName>
    <definedName name="Lijst1">Rekenblad!$DG$11:$DG$15</definedName>
    <definedName name="Lijst2">Rekenblad!$DH$11:$DH$16</definedName>
    <definedName name="Lijst3">Rekenblad!$DI$11:$DI$17</definedName>
    <definedName name="Lijst4">Rekenblad!$DH$15:$DH$16</definedName>
    <definedName name="Logeren">Rekenblad!$AG$8:$AG$12</definedName>
    <definedName name="Midden">Rekenblad!$DP$8:$DP$30</definedName>
    <definedName name="MPT">Rekenblad!$EN$2:$EN$9</definedName>
    <definedName name="Niet">Rekenblad!$CJ$61</definedName>
    <definedName name="NVT">#REF!</definedName>
    <definedName name="_xlnm.Recorder">Rekenblad!$EQ$2:$EQ$5</definedName>
    <definedName name="Opname2">Rekenblad!$ER$2:$ER$3</definedName>
    <definedName name="opnamelgverblijfsprestatie">Rekenblad!$ET$54:$ET$77</definedName>
    <definedName name="opnamepgverblijfsprestatie">Rekenblad!$ET$1:$ET$18</definedName>
    <definedName name="opnamesomverblijfsprestatie">Rekenblad!$EO$12:$EO$29</definedName>
    <definedName name="opnamevgverblijfsprestatie">Rekenblad!$ET$19:$ET$53</definedName>
    <definedName name="opnamezgverblijfsprestatie">Rekenblad!$ET$78:$ET$109</definedName>
    <definedName name="Overbruggingszorg">Rekenblad!$EO$2:$EO$9</definedName>
    <definedName name="PA">Rekenblad!$X$8:$X$14</definedName>
    <definedName name="PG">Rekenblad!$W$8:$W$14</definedName>
    <definedName name="PV">Rekenblad!$AI$8:$AI$14</definedName>
    <definedName name="Schoonmaak">Rekenblad!$AF$8</definedName>
    <definedName name="SOM">Rekenblad!$V$8:$V$16</definedName>
    <definedName name="Verblijf">Rekenblad!$EQ$2:$EQ$5</definedName>
    <definedName name="Verblijf2">Rekenblad!$ER$2:$ER$3</definedName>
    <definedName name="verblijfzgverblijfsprestatie">Rekenblad!$ET$78:$ET$109</definedName>
    <definedName name="Vervoer">Rekenblad!$AL$8:$AL$11</definedName>
    <definedName name="VG">Rekenblad!$Y$8:$Y$21</definedName>
    <definedName name="VolPT2">Rekenblad!$ER$6:$ER$7</definedName>
    <definedName name="VP">Rekenblad!$AH$8:$AH$11</definedName>
    <definedName name="VPT">Rekenblad!$EP$2:$EP$5</definedName>
    <definedName name="vptlgvptprestatie">Rekenblad!$EU$54:$EU$77</definedName>
    <definedName name="vptpgvptprestatie">Rekenblad!$EU$1:$EU$18</definedName>
    <definedName name="vptsomvptprestatie">Rekenblad!$EP$10:$EP$24</definedName>
    <definedName name="vptvgvptprestatie">Rekenblad!$EU$19:$EU$53</definedName>
    <definedName name="vptzgvptprestatie">Rekenblad!$EU$78:$EU$109</definedName>
    <definedName name="wel">Rekenblad!$CI$61:$CI$62</definedName>
    <definedName name="ZG">Rekenblad!$AA$8:$AA$16</definedName>
    <definedName name="Zwaar">Rekenblad!$DQ$8:$DQ$38</definedName>
    <definedName name="ZZP">Rekenblad!$CI$7:$CI$54</definedName>
  </definedNames>
  <calcPr calcId="145621"/>
</workbook>
</file>

<file path=xl/calcChain.xml><?xml version="1.0" encoding="utf-8"?>
<calcChain xmlns="http://schemas.openxmlformats.org/spreadsheetml/2006/main">
  <c r="X23" i="10" l="1"/>
  <c r="AZ232" i="10"/>
  <c r="AZ233" i="10"/>
  <c r="AZ234" i="10"/>
  <c r="AZ235" i="10"/>
  <c r="AZ236" i="10"/>
  <c r="AZ237" i="10"/>
  <c r="AZ238" i="10"/>
  <c r="AZ239" i="10"/>
  <c r="AZ240" i="10"/>
  <c r="AZ241" i="10"/>
  <c r="AZ242" i="10"/>
  <c r="AZ243" i="10"/>
  <c r="AZ244" i="10"/>
  <c r="AZ245" i="10"/>
  <c r="AZ246" i="10"/>
  <c r="AZ247" i="10"/>
  <c r="AZ248" i="10"/>
  <c r="AZ249" i="10"/>
  <c r="AZ250" i="10"/>
  <c r="AZ251" i="10"/>
  <c r="AZ252" i="10"/>
  <c r="AZ253" i="10"/>
  <c r="AZ254" i="10"/>
  <c r="AZ255" i="10"/>
  <c r="AZ256" i="10"/>
  <c r="AZ257" i="10"/>
  <c r="AZ258" i="10"/>
  <c r="AZ259" i="10"/>
  <c r="AZ260" i="10"/>
  <c r="AZ261" i="10"/>
  <c r="AZ262" i="10"/>
  <c r="AZ263" i="10"/>
  <c r="AZ264" i="10"/>
  <c r="AZ265" i="10"/>
  <c r="AZ266" i="10"/>
  <c r="AZ267" i="10"/>
  <c r="AZ268" i="10"/>
  <c r="AZ269" i="10"/>
  <c r="AZ270" i="10"/>
  <c r="AZ271" i="10"/>
  <c r="AZ272" i="10"/>
  <c r="AZ273" i="10"/>
  <c r="AZ274" i="10"/>
  <c r="AZ275" i="10"/>
  <c r="AZ276" i="10"/>
  <c r="AZ277" i="10"/>
  <c r="AZ278" i="10"/>
  <c r="AZ279" i="10"/>
  <c r="AZ280" i="10"/>
  <c r="AZ281" i="10"/>
  <c r="AZ282" i="10"/>
  <c r="AZ283" i="10"/>
  <c r="AZ284" i="10"/>
  <c r="AZ285" i="10"/>
  <c r="AZ286" i="10"/>
  <c r="AZ287" i="10"/>
  <c r="AZ288" i="10"/>
  <c r="AZ289" i="10"/>
  <c r="AZ290" i="10"/>
  <c r="AZ291" i="10"/>
  <c r="AZ292" i="10"/>
  <c r="AZ293" i="10"/>
  <c r="AZ294" i="10"/>
  <c r="AZ295" i="10"/>
  <c r="AZ296" i="10"/>
  <c r="AZ297" i="10"/>
  <c r="AZ298" i="10"/>
  <c r="AZ299" i="10"/>
  <c r="AZ300" i="10"/>
  <c r="AZ301" i="10"/>
  <c r="AZ302" i="10"/>
  <c r="AZ303" i="10"/>
  <c r="AZ304" i="10"/>
  <c r="AZ305" i="10"/>
  <c r="AZ306" i="10"/>
  <c r="AZ307" i="10"/>
  <c r="AZ308" i="10"/>
  <c r="AZ309" i="10"/>
  <c r="AZ310" i="10"/>
  <c r="AZ311" i="10"/>
  <c r="AZ312" i="10"/>
  <c r="AZ313" i="10"/>
  <c r="AZ314" i="10"/>
  <c r="AZ315" i="10"/>
  <c r="AZ316" i="10"/>
  <c r="AZ317" i="10"/>
  <c r="AZ318" i="10"/>
  <c r="AZ319" i="10"/>
  <c r="AZ320" i="10"/>
  <c r="AZ321" i="10"/>
  <c r="AZ322" i="10"/>
  <c r="AZ323" i="10"/>
  <c r="AZ324" i="10"/>
  <c r="AZ325" i="10"/>
  <c r="AZ326" i="10"/>
  <c r="AZ327" i="10"/>
  <c r="AZ328" i="10"/>
  <c r="AZ329" i="10"/>
  <c r="AZ330" i="10"/>
  <c r="AZ331" i="10"/>
  <c r="AZ332" i="10"/>
  <c r="AZ333" i="10"/>
  <c r="AZ334" i="10"/>
  <c r="AZ335" i="10"/>
  <c r="AZ336" i="10"/>
  <c r="AZ337" i="10"/>
  <c r="AZ338" i="10"/>
  <c r="AZ339" i="10"/>
  <c r="AZ340" i="10"/>
  <c r="AZ341" i="10"/>
  <c r="AZ342" i="10"/>
  <c r="AZ343" i="10"/>
  <c r="AZ344" i="10"/>
  <c r="AZ345" i="10"/>
  <c r="AZ346" i="10"/>
  <c r="AZ347" i="10"/>
  <c r="AZ348" i="10"/>
  <c r="AZ349" i="10"/>
  <c r="AZ350" i="10"/>
  <c r="AZ351" i="10"/>
  <c r="AZ352" i="10"/>
  <c r="AZ231" i="10"/>
  <c r="V30" i="10"/>
  <c r="V31" i="10"/>
  <c r="V32" i="10"/>
  <c r="V33" i="10"/>
  <c r="V34" i="10"/>
  <c r="V35" i="10"/>
  <c r="V36" i="10"/>
  <c r="V37" i="10"/>
  <c r="V38" i="10"/>
  <c r="FC39" i="10"/>
  <c r="FC40" i="10"/>
  <c r="FC41" i="10"/>
  <c r="FC42" i="10"/>
  <c r="FC3" i="10"/>
  <c r="FC4" i="10"/>
  <c r="FC5" i="10"/>
  <c r="FC6" i="10"/>
  <c r="FC7" i="10"/>
  <c r="FC8" i="10"/>
  <c r="FC9" i="10"/>
  <c r="FC10" i="10"/>
  <c r="FC11" i="10"/>
  <c r="FC12" i="10"/>
  <c r="FC13" i="10"/>
  <c r="FC14" i="10"/>
  <c r="FC15" i="10"/>
  <c r="FC16" i="10"/>
  <c r="FC17" i="10"/>
  <c r="FC18" i="10"/>
  <c r="FC19" i="10"/>
  <c r="FC20" i="10"/>
  <c r="FC21" i="10"/>
  <c r="FC22" i="10"/>
  <c r="FC23" i="10"/>
  <c r="FC24" i="10"/>
  <c r="FC25" i="10"/>
  <c r="FC26" i="10"/>
  <c r="FC27" i="10"/>
  <c r="FC28" i="10"/>
  <c r="FC29" i="10"/>
  <c r="FC30" i="10"/>
  <c r="FC31" i="10"/>
  <c r="FC32" i="10"/>
  <c r="FC33" i="10"/>
  <c r="FC34" i="10"/>
  <c r="FC35" i="10"/>
  <c r="FC36" i="10"/>
  <c r="FC37" i="10"/>
  <c r="FC38" i="10"/>
  <c r="FC2" i="10"/>
  <c r="D7" i="35"/>
  <c r="D10" i="35"/>
  <c r="D14" i="35"/>
  <c r="D18" i="35"/>
  <c r="D22" i="35"/>
  <c r="D26" i="35"/>
  <c r="D30" i="35"/>
  <c r="D34" i="35"/>
  <c r="D38" i="35"/>
  <c r="D42" i="35"/>
  <c r="D46" i="35"/>
  <c r="D50" i="35"/>
  <c r="D54" i="35"/>
  <c r="D58" i="35"/>
  <c r="D62" i="35"/>
  <c r="D66" i="35"/>
  <c r="D70" i="35"/>
  <c r="D74" i="35"/>
  <c r="D78" i="35"/>
  <c r="D82" i="35"/>
  <c r="D86" i="35"/>
  <c r="D90" i="35"/>
  <c r="D94" i="35"/>
  <c r="D98" i="35"/>
  <c r="D102" i="35"/>
  <c r="D106" i="35"/>
  <c r="D110" i="35"/>
  <c r="D114" i="35"/>
  <c r="D118" i="35"/>
  <c r="D122" i="35"/>
  <c r="D126" i="35"/>
  <c r="D130" i="35"/>
  <c r="D134" i="35"/>
  <c r="D138" i="35"/>
  <c r="D142" i="35"/>
  <c r="D146" i="35"/>
  <c r="D150" i="35"/>
  <c r="D154" i="35"/>
  <c r="D158" i="35"/>
  <c r="D162" i="35"/>
  <c r="D166" i="35"/>
  <c r="D170" i="35"/>
  <c r="D174" i="35"/>
  <c r="D178" i="35"/>
  <c r="D182" i="35"/>
  <c r="A7" i="35"/>
  <c r="A8" i="35"/>
  <c r="D8" i="35" s="1"/>
  <c r="A9" i="35"/>
  <c r="D9" i="35" s="1"/>
  <c r="A10" i="35"/>
  <c r="A11" i="35"/>
  <c r="D11" i="35" s="1"/>
  <c r="A12" i="35"/>
  <c r="D12" i="35" s="1"/>
  <c r="A13" i="35"/>
  <c r="D13" i="35" s="1"/>
  <c r="A14" i="35"/>
  <c r="A15" i="35"/>
  <c r="D15" i="35" s="1"/>
  <c r="A16" i="35"/>
  <c r="D16" i="35" s="1"/>
  <c r="A17" i="35"/>
  <c r="D17" i="35" s="1"/>
  <c r="A18" i="35"/>
  <c r="A19" i="35"/>
  <c r="D19" i="35" s="1"/>
  <c r="A20" i="35"/>
  <c r="D20" i="35" s="1"/>
  <c r="A21" i="35"/>
  <c r="D21" i="35" s="1"/>
  <c r="A22" i="35"/>
  <c r="A23" i="35"/>
  <c r="D23" i="35" s="1"/>
  <c r="A24" i="35"/>
  <c r="D24" i="35" s="1"/>
  <c r="A25" i="35"/>
  <c r="D25" i="35" s="1"/>
  <c r="A26" i="35"/>
  <c r="A27" i="35"/>
  <c r="D27" i="35" s="1"/>
  <c r="A28" i="35"/>
  <c r="D28" i="35" s="1"/>
  <c r="A29" i="35"/>
  <c r="D29" i="35" s="1"/>
  <c r="A30" i="35"/>
  <c r="A31" i="35"/>
  <c r="D31" i="35" s="1"/>
  <c r="A32" i="35"/>
  <c r="D32" i="35" s="1"/>
  <c r="A33" i="35"/>
  <c r="D33" i="35" s="1"/>
  <c r="A34" i="35"/>
  <c r="A35" i="35"/>
  <c r="D35" i="35" s="1"/>
  <c r="A36" i="35"/>
  <c r="D36" i="35" s="1"/>
  <c r="A37" i="35"/>
  <c r="D37" i="35" s="1"/>
  <c r="A38" i="35"/>
  <c r="A39" i="35"/>
  <c r="D39" i="35" s="1"/>
  <c r="A40" i="35"/>
  <c r="D40" i="35" s="1"/>
  <c r="A41" i="35"/>
  <c r="D41" i="35" s="1"/>
  <c r="A42" i="35"/>
  <c r="A43" i="35"/>
  <c r="D43" i="35" s="1"/>
  <c r="A44" i="35"/>
  <c r="D44" i="35" s="1"/>
  <c r="A45" i="35"/>
  <c r="D45" i="35" s="1"/>
  <c r="A46" i="35"/>
  <c r="A47" i="35"/>
  <c r="D47" i="35" s="1"/>
  <c r="A48" i="35"/>
  <c r="D48" i="35" s="1"/>
  <c r="A49" i="35"/>
  <c r="D49" i="35" s="1"/>
  <c r="A50" i="35"/>
  <c r="A51" i="35"/>
  <c r="D51" i="35" s="1"/>
  <c r="A52" i="35"/>
  <c r="D52" i="35" s="1"/>
  <c r="A53" i="35"/>
  <c r="D53" i="35" s="1"/>
  <c r="A54" i="35"/>
  <c r="A55" i="35"/>
  <c r="D55" i="35" s="1"/>
  <c r="A56" i="35"/>
  <c r="D56" i="35" s="1"/>
  <c r="A57" i="35"/>
  <c r="D57" i="35" s="1"/>
  <c r="A58" i="35"/>
  <c r="A59" i="35"/>
  <c r="D59" i="35" s="1"/>
  <c r="A60" i="35"/>
  <c r="D60" i="35" s="1"/>
  <c r="A61" i="35"/>
  <c r="D61" i="35" s="1"/>
  <c r="A62" i="35"/>
  <c r="A63" i="35"/>
  <c r="D63" i="35" s="1"/>
  <c r="A64" i="35"/>
  <c r="D64" i="35" s="1"/>
  <c r="A65" i="35"/>
  <c r="D65" i="35" s="1"/>
  <c r="A66" i="35"/>
  <c r="A67" i="35"/>
  <c r="D67" i="35" s="1"/>
  <c r="A68" i="35"/>
  <c r="D68" i="35" s="1"/>
  <c r="A69" i="35"/>
  <c r="D69" i="35" s="1"/>
  <c r="A70" i="35"/>
  <c r="A71" i="35"/>
  <c r="D71" i="35" s="1"/>
  <c r="A72" i="35"/>
  <c r="D72" i="35" s="1"/>
  <c r="A73" i="35"/>
  <c r="D73" i="35" s="1"/>
  <c r="A74" i="35"/>
  <c r="A75" i="35"/>
  <c r="D75" i="35" s="1"/>
  <c r="A76" i="35"/>
  <c r="D76" i="35" s="1"/>
  <c r="A77" i="35"/>
  <c r="D77" i="35" s="1"/>
  <c r="A78" i="35"/>
  <c r="A79" i="35"/>
  <c r="D79" i="35" s="1"/>
  <c r="A80" i="35"/>
  <c r="D80" i="35" s="1"/>
  <c r="A81" i="35"/>
  <c r="D81" i="35" s="1"/>
  <c r="A82" i="35"/>
  <c r="A83" i="35"/>
  <c r="D83" i="35" s="1"/>
  <c r="A84" i="35"/>
  <c r="D84" i="35" s="1"/>
  <c r="A85" i="35"/>
  <c r="D85" i="35" s="1"/>
  <c r="A86" i="35"/>
  <c r="A87" i="35"/>
  <c r="D87" i="35" s="1"/>
  <c r="A88" i="35"/>
  <c r="D88" i="35" s="1"/>
  <c r="A89" i="35"/>
  <c r="D89" i="35" s="1"/>
  <c r="A90" i="35"/>
  <c r="A91" i="35"/>
  <c r="D91" i="35" s="1"/>
  <c r="A92" i="35"/>
  <c r="D92" i="35" s="1"/>
  <c r="A93" i="35"/>
  <c r="D93" i="35" s="1"/>
  <c r="A94" i="35"/>
  <c r="A95" i="35"/>
  <c r="D95" i="35" s="1"/>
  <c r="A96" i="35"/>
  <c r="D96" i="35" s="1"/>
  <c r="A97" i="35"/>
  <c r="D97" i="35" s="1"/>
  <c r="A98" i="35"/>
  <c r="A99" i="35"/>
  <c r="D99" i="35" s="1"/>
  <c r="A100" i="35"/>
  <c r="D100" i="35" s="1"/>
  <c r="A101" i="35"/>
  <c r="D101" i="35" s="1"/>
  <c r="A102" i="35"/>
  <c r="A103" i="35"/>
  <c r="D103" i="35" s="1"/>
  <c r="A104" i="35"/>
  <c r="D104" i="35" s="1"/>
  <c r="A105" i="35"/>
  <c r="D105" i="35" s="1"/>
  <c r="A106" i="35"/>
  <c r="A107" i="35"/>
  <c r="D107" i="35" s="1"/>
  <c r="A108" i="35"/>
  <c r="D108" i="35" s="1"/>
  <c r="A109" i="35"/>
  <c r="D109" i="35" s="1"/>
  <c r="A110" i="35"/>
  <c r="A111" i="35"/>
  <c r="D111" i="35" s="1"/>
  <c r="A112" i="35"/>
  <c r="D112" i="35" s="1"/>
  <c r="A113" i="35"/>
  <c r="D113" i="35" s="1"/>
  <c r="A114" i="35"/>
  <c r="A115" i="35"/>
  <c r="D115" i="35" s="1"/>
  <c r="A116" i="35"/>
  <c r="D116" i="35" s="1"/>
  <c r="A117" i="35"/>
  <c r="D117" i="35" s="1"/>
  <c r="A118" i="35"/>
  <c r="A119" i="35"/>
  <c r="D119" i="35" s="1"/>
  <c r="A120" i="35"/>
  <c r="D120" i="35" s="1"/>
  <c r="A121" i="35"/>
  <c r="D121" i="35" s="1"/>
  <c r="A122" i="35"/>
  <c r="A123" i="35"/>
  <c r="D123" i="35" s="1"/>
  <c r="A124" i="35"/>
  <c r="D124" i="35" s="1"/>
  <c r="A125" i="35"/>
  <c r="D125" i="35" s="1"/>
  <c r="A126" i="35"/>
  <c r="A127" i="35"/>
  <c r="D127" i="35" s="1"/>
  <c r="A128" i="35"/>
  <c r="D128" i="35" s="1"/>
  <c r="A129" i="35"/>
  <c r="D129" i="35" s="1"/>
  <c r="A130" i="35"/>
  <c r="A131" i="35"/>
  <c r="D131" i="35" s="1"/>
  <c r="A132" i="35"/>
  <c r="D132" i="35" s="1"/>
  <c r="A133" i="35"/>
  <c r="D133" i="35" s="1"/>
  <c r="A134" i="35"/>
  <c r="A135" i="35"/>
  <c r="D135" i="35" s="1"/>
  <c r="A136" i="35"/>
  <c r="D136" i="35" s="1"/>
  <c r="A137" i="35"/>
  <c r="D137" i="35" s="1"/>
  <c r="A138" i="35"/>
  <c r="A139" i="35"/>
  <c r="D139" i="35" s="1"/>
  <c r="A140" i="35"/>
  <c r="D140" i="35" s="1"/>
  <c r="A141" i="35"/>
  <c r="D141" i="35" s="1"/>
  <c r="A142" i="35"/>
  <c r="A143" i="35"/>
  <c r="D143" i="35" s="1"/>
  <c r="A144" i="35"/>
  <c r="D144" i="35" s="1"/>
  <c r="A145" i="35"/>
  <c r="D145" i="35" s="1"/>
  <c r="A146" i="35"/>
  <c r="A147" i="35"/>
  <c r="D147" i="35" s="1"/>
  <c r="A148" i="35"/>
  <c r="D148" i="35" s="1"/>
  <c r="A149" i="35"/>
  <c r="D149" i="35" s="1"/>
  <c r="A150" i="35"/>
  <c r="A151" i="35"/>
  <c r="D151" i="35" s="1"/>
  <c r="A152" i="35"/>
  <c r="D152" i="35" s="1"/>
  <c r="A153" i="35"/>
  <c r="D153" i="35" s="1"/>
  <c r="A154" i="35"/>
  <c r="A155" i="35"/>
  <c r="D155" i="35" s="1"/>
  <c r="A156" i="35"/>
  <c r="D156" i="35" s="1"/>
  <c r="A157" i="35"/>
  <c r="D157" i="35" s="1"/>
  <c r="A158" i="35"/>
  <c r="A159" i="35"/>
  <c r="D159" i="35" s="1"/>
  <c r="A160" i="35"/>
  <c r="D160" i="35" s="1"/>
  <c r="A161" i="35"/>
  <c r="D161" i="35" s="1"/>
  <c r="A162" i="35"/>
  <c r="A163" i="35"/>
  <c r="D163" i="35" s="1"/>
  <c r="A164" i="35"/>
  <c r="D164" i="35" s="1"/>
  <c r="A165" i="35"/>
  <c r="D165" i="35" s="1"/>
  <c r="A166" i="35"/>
  <c r="A167" i="35"/>
  <c r="D167" i="35" s="1"/>
  <c r="A168" i="35"/>
  <c r="D168" i="35" s="1"/>
  <c r="A169" i="35"/>
  <c r="D169" i="35" s="1"/>
  <c r="A170" i="35"/>
  <c r="A171" i="35"/>
  <c r="D171" i="35" s="1"/>
  <c r="A172" i="35"/>
  <c r="D172" i="35" s="1"/>
  <c r="A173" i="35"/>
  <c r="D173" i="35" s="1"/>
  <c r="A174" i="35"/>
  <c r="A175" i="35"/>
  <c r="D175" i="35" s="1"/>
  <c r="A176" i="35"/>
  <c r="D176" i="35" s="1"/>
  <c r="A177" i="35"/>
  <c r="D177" i="35" s="1"/>
  <c r="A178" i="35"/>
  <c r="A179" i="35"/>
  <c r="D179" i="35" s="1"/>
  <c r="A180" i="35"/>
  <c r="D180" i="35" s="1"/>
  <c r="A181" i="35"/>
  <c r="D181" i="35" s="1"/>
  <c r="A182" i="35"/>
  <c r="A6" i="35"/>
  <c r="D6" i="35" s="1"/>
  <c r="FC77" i="10" l="1"/>
  <c r="FC76" i="10"/>
  <c r="FC75" i="10"/>
  <c r="E3" i="39"/>
  <c r="E4" i="39"/>
  <c r="E5" i="39"/>
  <c r="E6" i="39"/>
  <c r="E7" i="39"/>
  <c r="E8" i="39"/>
  <c r="E9" i="39"/>
  <c r="E10" i="39"/>
  <c r="E11" i="39"/>
  <c r="E12" i="39"/>
  <c r="E13" i="39"/>
  <c r="E14" i="39"/>
  <c r="E15" i="39"/>
  <c r="E16" i="39"/>
  <c r="E17" i="39"/>
  <c r="E18" i="39"/>
  <c r="E19" i="39"/>
  <c r="E20" i="39"/>
  <c r="E21" i="39"/>
  <c r="E22" i="39"/>
  <c r="E23" i="39"/>
  <c r="E24" i="39"/>
  <c r="E25" i="39"/>
  <c r="E26" i="39"/>
  <c r="E27" i="39"/>
  <c r="E28" i="39"/>
  <c r="E29" i="39"/>
  <c r="E30" i="39"/>
  <c r="E31" i="39"/>
  <c r="E32" i="39"/>
  <c r="E33" i="39"/>
  <c r="E34" i="39"/>
  <c r="E35" i="39"/>
  <c r="E36" i="39"/>
  <c r="E37" i="39"/>
  <c r="E38" i="39"/>
  <c r="E39" i="39"/>
  <c r="E40" i="39"/>
  <c r="E41" i="39"/>
  <c r="E2" i="39"/>
  <c r="C2" i="39"/>
  <c r="C3" i="39"/>
  <c r="C4" i="39"/>
  <c r="C5" i="39"/>
  <c r="F5" i="39" s="1"/>
  <c r="G5" i="39" s="1"/>
  <c r="H5" i="39" s="1"/>
  <c r="BL10" i="10" s="1"/>
  <c r="C6" i="39"/>
  <c r="C7" i="39"/>
  <c r="C8" i="39"/>
  <c r="C9" i="39"/>
  <c r="C10" i="39"/>
  <c r="C11" i="39"/>
  <c r="C12" i="39"/>
  <c r="C13" i="39"/>
  <c r="C14" i="39"/>
  <c r="C15" i="39"/>
  <c r="C16" i="39"/>
  <c r="C17" i="39"/>
  <c r="C18" i="39"/>
  <c r="C19" i="39"/>
  <c r="C20" i="39"/>
  <c r="C21" i="39"/>
  <c r="C22" i="39"/>
  <c r="C23" i="39"/>
  <c r="C24" i="39"/>
  <c r="C25" i="39"/>
  <c r="C26" i="39"/>
  <c r="C27" i="39"/>
  <c r="C28" i="39"/>
  <c r="C29" i="39"/>
  <c r="C30" i="39"/>
  <c r="C31" i="39"/>
  <c r="C32" i="39"/>
  <c r="C33" i="39"/>
  <c r="C34" i="39"/>
  <c r="C35" i="39"/>
  <c r="C36" i="39"/>
  <c r="C37" i="39"/>
  <c r="C38" i="39"/>
  <c r="C39" i="39"/>
  <c r="C40" i="39"/>
  <c r="C41" i="39"/>
  <c r="K48" i="37"/>
  <c r="K47" i="37"/>
  <c r="K46" i="37"/>
  <c r="K45" i="37"/>
  <c r="K44" i="37"/>
  <c r="K43" i="37"/>
  <c r="K42" i="37"/>
  <c r="K41" i="37"/>
  <c r="K40" i="37"/>
  <c r="K39" i="37"/>
  <c r="K38" i="37"/>
  <c r="K37" i="37"/>
  <c r="K36" i="37"/>
  <c r="K35" i="37"/>
  <c r="K34" i="37"/>
  <c r="K33" i="37"/>
  <c r="K32" i="37"/>
  <c r="K31" i="37"/>
  <c r="K30" i="37"/>
  <c r="K29" i="37"/>
  <c r="K28" i="37"/>
  <c r="K27" i="37"/>
  <c r="K26" i="37"/>
  <c r="K25" i="37"/>
  <c r="K24" i="37"/>
  <c r="K23" i="37"/>
  <c r="K22" i="37"/>
  <c r="K21" i="37"/>
  <c r="K20" i="37"/>
  <c r="K19" i="37"/>
  <c r="K18" i="37"/>
  <c r="K17" i="37"/>
  <c r="K16" i="37"/>
  <c r="K15" i="37"/>
  <c r="K14" i="37"/>
  <c r="K13" i="37"/>
  <c r="K12" i="37"/>
  <c r="K11" i="37"/>
  <c r="K10" i="37"/>
  <c r="K9" i="37"/>
  <c r="K8" i="37"/>
  <c r="K7" i="37"/>
  <c r="K6" i="37"/>
  <c r="K5" i="37"/>
  <c r="K4" i="37"/>
  <c r="K3" i="37"/>
  <c r="K2" i="37"/>
  <c r="J48" i="37"/>
  <c r="J47" i="37"/>
  <c r="J46" i="37"/>
  <c r="J45" i="37"/>
  <c r="J44" i="37"/>
  <c r="J43" i="37"/>
  <c r="J42" i="37"/>
  <c r="J41" i="37"/>
  <c r="J40" i="37"/>
  <c r="J39" i="37"/>
  <c r="J38" i="37"/>
  <c r="J37" i="37"/>
  <c r="J36" i="37"/>
  <c r="J35" i="37"/>
  <c r="J34" i="37"/>
  <c r="J33" i="37"/>
  <c r="J32" i="37"/>
  <c r="J31" i="37"/>
  <c r="J30" i="37"/>
  <c r="J29" i="37"/>
  <c r="J28" i="37"/>
  <c r="J27" i="37"/>
  <c r="J26" i="37"/>
  <c r="J25" i="37"/>
  <c r="J24" i="37"/>
  <c r="J23" i="37"/>
  <c r="J22" i="37"/>
  <c r="J21" i="37"/>
  <c r="J20" i="37"/>
  <c r="J19" i="37"/>
  <c r="J18" i="37"/>
  <c r="J17" i="37"/>
  <c r="J16" i="37"/>
  <c r="J15" i="37"/>
  <c r="J14" i="37"/>
  <c r="J13" i="37"/>
  <c r="J12" i="37"/>
  <c r="J11" i="37"/>
  <c r="J10" i="37"/>
  <c r="J9" i="37"/>
  <c r="J8" i="37"/>
  <c r="J7" i="37"/>
  <c r="J6" i="37"/>
  <c r="J5" i="37"/>
  <c r="J4" i="37"/>
  <c r="J3" i="37"/>
  <c r="J2" i="37"/>
  <c r="I3" i="37"/>
  <c r="I4" i="37"/>
  <c r="I5" i="37"/>
  <c r="I6" i="37"/>
  <c r="I7" i="37"/>
  <c r="I8" i="37"/>
  <c r="I9" i="37"/>
  <c r="I10" i="37"/>
  <c r="I11" i="37"/>
  <c r="I12" i="37"/>
  <c r="I13" i="37"/>
  <c r="I14" i="37"/>
  <c r="I15" i="37"/>
  <c r="I16" i="37"/>
  <c r="I17" i="37"/>
  <c r="I18" i="37"/>
  <c r="I19" i="37"/>
  <c r="I20" i="37"/>
  <c r="I21" i="37"/>
  <c r="I22" i="37"/>
  <c r="I23" i="37"/>
  <c r="I24" i="37"/>
  <c r="I25" i="37"/>
  <c r="I26" i="37"/>
  <c r="I27" i="37"/>
  <c r="I28" i="37"/>
  <c r="I29" i="37"/>
  <c r="I30" i="37"/>
  <c r="I31" i="37"/>
  <c r="I32" i="37"/>
  <c r="I33" i="37"/>
  <c r="I34" i="37"/>
  <c r="I35" i="37"/>
  <c r="I36" i="37"/>
  <c r="I37" i="37"/>
  <c r="I38" i="37"/>
  <c r="I39" i="37"/>
  <c r="I40" i="37"/>
  <c r="I41" i="37"/>
  <c r="I42" i="37"/>
  <c r="I43" i="37"/>
  <c r="I44" i="37"/>
  <c r="I45" i="37"/>
  <c r="I46" i="37"/>
  <c r="I47" i="37"/>
  <c r="I48" i="37"/>
  <c r="I2" i="37"/>
  <c r="H3" i="37"/>
  <c r="H4" i="37"/>
  <c r="H5" i="37"/>
  <c r="H6" i="37"/>
  <c r="H7" i="37"/>
  <c r="H8" i="37"/>
  <c r="H9" i="37"/>
  <c r="H10" i="37"/>
  <c r="H11" i="37"/>
  <c r="H12" i="37"/>
  <c r="H13" i="37"/>
  <c r="H14" i="37"/>
  <c r="H15" i="37"/>
  <c r="H16" i="37"/>
  <c r="H17" i="37"/>
  <c r="H18" i="37"/>
  <c r="H19" i="37"/>
  <c r="H20" i="37"/>
  <c r="H21" i="37"/>
  <c r="H22" i="37"/>
  <c r="H23" i="37"/>
  <c r="H24" i="37"/>
  <c r="H25" i="37"/>
  <c r="H26" i="37"/>
  <c r="H27" i="37"/>
  <c r="H28" i="37"/>
  <c r="H29" i="37"/>
  <c r="H30" i="37"/>
  <c r="H31" i="37"/>
  <c r="H32" i="37"/>
  <c r="H33" i="37"/>
  <c r="H34" i="37"/>
  <c r="H35" i="37"/>
  <c r="H36" i="37"/>
  <c r="H37" i="37"/>
  <c r="H38" i="37"/>
  <c r="H39" i="37"/>
  <c r="H40" i="37"/>
  <c r="H41" i="37"/>
  <c r="H42" i="37"/>
  <c r="H43" i="37"/>
  <c r="H44" i="37"/>
  <c r="H45" i="37"/>
  <c r="H46" i="37"/>
  <c r="H47" i="37"/>
  <c r="H48" i="37"/>
  <c r="H2" i="37"/>
  <c r="G3" i="37"/>
  <c r="G4" i="37"/>
  <c r="G5" i="37"/>
  <c r="G6" i="37"/>
  <c r="G7" i="37"/>
  <c r="G8" i="37"/>
  <c r="G9" i="37"/>
  <c r="G10" i="37"/>
  <c r="G11" i="37"/>
  <c r="G12" i="37"/>
  <c r="G13" i="37"/>
  <c r="G14" i="37"/>
  <c r="G15" i="37"/>
  <c r="G16" i="37"/>
  <c r="G17" i="37"/>
  <c r="G18" i="37"/>
  <c r="G19" i="37"/>
  <c r="G20" i="37"/>
  <c r="G21" i="37"/>
  <c r="G22" i="37"/>
  <c r="G23" i="37"/>
  <c r="G24" i="37"/>
  <c r="G25" i="37"/>
  <c r="G26" i="37"/>
  <c r="G27" i="37"/>
  <c r="G28" i="37"/>
  <c r="G29" i="37"/>
  <c r="G30" i="37"/>
  <c r="G31" i="37"/>
  <c r="G32" i="37"/>
  <c r="G33" i="37"/>
  <c r="G34" i="37"/>
  <c r="G35" i="37"/>
  <c r="G36" i="37"/>
  <c r="G37" i="37"/>
  <c r="G38" i="37"/>
  <c r="G39" i="37"/>
  <c r="G40" i="37"/>
  <c r="G41" i="37"/>
  <c r="G42" i="37"/>
  <c r="G43" i="37"/>
  <c r="G44" i="37"/>
  <c r="G45" i="37"/>
  <c r="G46" i="37"/>
  <c r="G47" i="37"/>
  <c r="G48" i="37"/>
  <c r="G2" i="37"/>
  <c r="E3" i="37"/>
  <c r="E4" i="37"/>
  <c r="E5" i="37"/>
  <c r="E6" i="37"/>
  <c r="E7" i="37"/>
  <c r="E8" i="37"/>
  <c r="E9" i="37"/>
  <c r="E10" i="37"/>
  <c r="E11" i="37"/>
  <c r="E12" i="37"/>
  <c r="E13" i="37"/>
  <c r="E14" i="37"/>
  <c r="E15" i="37"/>
  <c r="E16" i="37"/>
  <c r="E17" i="37"/>
  <c r="E18" i="37"/>
  <c r="E19" i="37"/>
  <c r="E20" i="37"/>
  <c r="E21" i="37"/>
  <c r="E22" i="37"/>
  <c r="E23" i="37"/>
  <c r="E24" i="37"/>
  <c r="E25" i="37"/>
  <c r="E26" i="37"/>
  <c r="E27" i="37"/>
  <c r="E28" i="37"/>
  <c r="E29" i="37"/>
  <c r="E30" i="37"/>
  <c r="E31" i="37"/>
  <c r="E32" i="37"/>
  <c r="E33" i="37"/>
  <c r="E34" i="37"/>
  <c r="E35" i="37"/>
  <c r="E36" i="37"/>
  <c r="E37" i="37"/>
  <c r="E38" i="37"/>
  <c r="E39" i="37"/>
  <c r="E40" i="37"/>
  <c r="E41" i="37"/>
  <c r="E42" i="37"/>
  <c r="E43" i="37"/>
  <c r="E44" i="37"/>
  <c r="E45" i="37"/>
  <c r="E46" i="37"/>
  <c r="E47" i="37"/>
  <c r="E48" i="37"/>
  <c r="F3" i="37"/>
  <c r="F4" i="37"/>
  <c r="F5" i="37"/>
  <c r="F6" i="37"/>
  <c r="F7" i="37"/>
  <c r="F8" i="37"/>
  <c r="F9" i="37"/>
  <c r="F10" i="37"/>
  <c r="F11" i="37"/>
  <c r="F12" i="37"/>
  <c r="F13" i="37"/>
  <c r="F14" i="37"/>
  <c r="F15" i="37"/>
  <c r="F16" i="37"/>
  <c r="F17" i="37"/>
  <c r="F18" i="37"/>
  <c r="F19" i="37"/>
  <c r="F20" i="37"/>
  <c r="F21" i="37"/>
  <c r="F22" i="37"/>
  <c r="F23" i="37"/>
  <c r="F24" i="37"/>
  <c r="F25" i="37"/>
  <c r="F26" i="37"/>
  <c r="F27" i="37"/>
  <c r="F28" i="37"/>
  <c r="F29" i="37"/>
  <c r="F30" i="37"/>
  <c r="F31" i="37"/>
  <c r="F32" i="37"/>
  <c r="F33" i="37"/>
  <c r="F34" i="37"/>
  <c r="F35" i="37"/>
  <c r="F36" i="37"/>
  <c r="F37" i="37"/>
  <c r="F38" i="37"/>
  <c r="F39" i="37"/>
  <c r="F40" i="37"/>
  <c r="F41" i="37"/>
  <c r="F42" i="37"/>
  <c r="F43" i="37"/>
  <c r="F44" i="37"/>
  <c r="F45" i="37"/>
  <c r="F46" i="37"/>
  <c r="F47" i="37"/>
  <c r="F48" i="37"/>
  <c r="F2" i="37"/>
  <c r="E2" i="37"/>
  <c r="AZ107" i="10"/>
  <c r="AZ108" i="10"/>
  <c r="AZ109" i="10"/>
  <c r="AZ110" i="10"/>
  <c r="AZ111" i="10"/>
  <c r="AZ112" i="10"/>
  <c r="AZ113" i="10"/>
  <c r="AZ114" i="10"/>
  <c r="AZ115" i="10"/>
  <c r="AZ116" i="10"/>
  <c r="AZ117" i="10"/>
  <c r="AZ118" i="10"/>
  <c r="AZ119" i="10"/>
  <c r="AZ120" i="10"/>
  <c r="AZ121" i="10"/>
  <c r="AZ122" i="10"/>
  <c r="AZ123" i="10"/>
  <c r="AZ124" i="10"/>
  <c r="AZ125" i="10"/>
  <c r="AZ126" i="10"/>
  <c r="AZ127" i="10"/>
  <c r="AZ128" i="10"/>
  <c r="AZ129" i="10"/>
  <c r="AZ130" i="10"/>
  <c r="AZ131" i="10"/>
  <c r="AZ132" i="10"/>
  <c r="AZ133" i="10"/>
  <c r="AZ134" i="10"/>
  <c r="AZ135" i="10"/>
  <c r="AZ136" i="10"/>
  <c r="AZ137" i="10"/>
  <c r="AZ138" i="10"/>
  <c r="AZ139" i="10"/>
  <c r="AZ140" i="10"/>
  <c r="AZ141" i="10"/>
  <c r="AZ142" i="10"/>
  <c r="AZ143" i="10"/>
  <c r="AZ144" i="10"/>
  <c r="AZ145" i="10"/>
  <c r="AZ146" i="10"/>
  <c r="AZ147" i="10"/>
  <c r="AZ148" i="10"/>
  <c r="AZ149" i="10"/>
  <c r="AZ150" i="10"/>
  <c r="AZ151" i="10"/>
  <c r="AZ152" i="10"/>
  <c r="AZ153" i="10"/>
  <c r="AZ154" i="10"/>
  <c r="AZ155" i="10"/>
  <c r="AZ156" i="10"/>
  <c r="AZ157" i="10"/>
  <c r="AZ158" i="10"/>
  <c r="AZ159" i="10"/>
  <c r="AZ160" i="10"/>
  <c r="AZ161" i="10"/>
  <c r="AZ162" i="10"/>
  <c r="AZ163" i="10"/>
  <c r="AZ164" i="10"/>
  <c r="AZ165" i="10"/>
  <c r="AZ166" i="10"/>
  <c r="AZ167" i="10"/>
  <c r="AZ168" i="10"/>
  <c r="AZ169" i="10"/>
  <c r="AZ170" i="10"/>
  <c r="AZ171" i="10"/>
  <c r="AZ172" i="10"/>
  <c r="AZ173" i="10"/>
  <c r="AZ174" i="10"/>
  <c r="AZ175" i="10"/>
  <c r="AZ176" i="10"/>
  <c r="AZ177" i="10"/>
  <c r="AZ178" i="10"/>
  <c r="AZ179" i="10"/>
  <c r="AZ180" i="10"/>
  <c r="AZ181" i="10"/>
  <c r="AZ182" i="10"/>
  <c r="AZ184" i="10"/>
  <c r="AZ185" i="10"/>
  <c r="AZ183" i="10"/>
  <c r="AZ186" i="10"/>
  <c r="AZ188" i="10"/>
  <c r="AZ189" i="10"/>
  <c r="AZ187" i="10"/>
  <c r="AZ190" i="10"/>
  <c r="AZ192" i="10"/>
  <c r="AZ193" i="10"/>
  <c r="AZ191" i="10"/>
  <c r="AZ194" i="10"/>
  <c r="AZ196" i="10"/>
  <c r="AZ197" i="10"/>
  <c r="AZ195" i="10"/>
  <c r="AZ198" i="10"/>
  <c r="AZ199" i="10"/>
  <c r="AZ200" i="10"/>
  <c r="AZ201" i="10"/>
  <c r="AZ202" i="10"/>
  <c r="AZ203" i="10"/>
  <c r="AZ204" i="10"/>
  <c r="AZ205" i="10"/>
  <c r="AZ206" i="10"/>
  <c r="AZ207" i="10"/>
  <c r="AZ208" i="10"/>
  <c r="AZ209" i="10"/>
  <c r="AZ210" i="10"/>
  <c r="AZ211" i="10"/>
  <c r="AZ212" i="10"/>
  <c r="AZ213" i="10"/>
  <c r="AZ214" i="10"/>
  <c r="AZ215" i="10"/>
  <c r="AZ216" i="10"/>
  <c r="AZ217" i="10"/>
  <c r="AZ218" i="10"/>
  <c r="AZ219" i="10"/>
  <c r="AZ220" i="10"/>
  <c r="AZ221" i="10"/>
  <c r="AZ222" i="10"/>
  <c r="AZ223" i="10"/>
  <c r="AZ224" i="10"/>
  <c r="AZ225" i="10"/>
  <c r="AZ226" i="10"/>
  <c r="AZ227" i="10"/>
  <c r="AZ228" i="10"/>
  <c r="AZ229" i="10"/>
  <c r="AZ230" i="10"/>
  <c r="AZ106" i="10"/>
  <c r="F41" i="39" l="1"/>
  <c r="G41" i="39" s="1"/>
  <c r="H41" i="39" s="1"/>
  <c r="BL46" i="10" s="1"/>
  <c r="F2" i="39"/>
  <c r="G2" i="39" s="1"/>
  <c r="H2" i="39" s="1"/>
  <c r="BL7" i="10" s="1"/>
  <c r="F34" i="39"/>
  <c r="G34" i="39" s="1"/>
  <c r="H34" i="39" s="1"/>
  <c r="BL39" i="10" s="1"/>
  <c r="F26" i="39"/>
  <c r="G26" i="39" s="1"/>
  <c r="H26" i="39" s="1"/>
  <c r="BL31" i="10" s="1"/>
  <c r="F18" i="39"/>
  <c r="G18" i="39" s="1"/>
  <c r="H18" i="39" s="1"/>
  <c r="BL23" i="10" s="1"/>
  <c r="F10" i="39"/>
  <c r="G10" i="39" s="1"/>
  <c r="H10" i="39" s="1"/>
  <c r="BL15" i="10" s="1"/>
  <c r="F31" i="39"/>
  <c r="G31" i="39" s="1"/>
  <c r="H31" i="39" s="1"/>
  <c r="BL36" i="10" s="1"/>
  <c r="F23" i="39"/>
  <c r="G23" i="39" s="1"/>
  <c r="H23" i="39" s="1"/>
  <c r="BL28" i="10" s="1"/>
  <c r="F15" i="39"/>
  <c r="G15" i="39" s="1"/>
  <c r="H15" i="39" s="1"/>
  <c r="BL20" i="10" s="1"/>
  <c r="F7" i="39"/>
  <c r="G7" i="39" s="1"/>
  <c r="H7" i="39" s="1"/>
  <c r="BL12" i="10" s="1"/>
  <c r="F40" i="39"/>
  <c r="G40" i="39" s="1"/>
  <c r="H40" i="39" s="1"/>
  <c r="BL45" i="10" s="1"/>
  <c r="F32" i="39"/>
  <c r="G32" i="39" s="1"/>
  <c r="H32" i="39" s="1"/>
  <c r="BL37" i="10" s="1"/>
  <c r="F24" i="39"/>
  <c r="G24" i="39" s="1"/>
  <c r="H24" i="39" s="1"/>
  <c r="BL29" i="10" s="1"/>
  <c r="F16" i="39"/>
  <c r="G16" i="39" s="1"/>
  <c r="H16" i="39" s="1"/>
  <c r="BL21" i="10" s="1"/>
  <c r="F8" i="39"/>
  <c r="G8" i="39" s="1"/>
  <c r="H8" i="39" s="1"/>
  <c r="BL13" i="10" s="1"/>
  <c r="F38" i="39"/>
  <c r="G38" i="39" s="1"/>
  <c r="H38" i="39" s="1"/>
  <c r="BL43" i="10" s="1"/>
  <c r="F30" i="39"/>
  <c r="G30" i="39" s="1"/>
  <c r="H30" i="39" s="1"/>
  <c r="BL35" i="10" s="1"/>
  <c r="F22" i="39"/>
  <c r="G22" i="39" s="1"/>
  <c r="H22" i="39" s="1"/>
  <c r="BL27" i="10" s="1"/>
  <c r="F14" i="39"/>
  <c r="G14" i="39" s="1"/>
  <c r="H14" i="39" s="1"/>
  <c r="BL19" i="10" s="1"/>
  <c r="F6" i="39"/>
  <c r="G6" i="39" s="1"/>
  <c r="H6" i="39" s="1"/>
  <c r="BL11" i="10" s="1"/>
  <c r="F36" i="39"/>
  <c r="G36" i="39" s="1"/>
  <c r="H36" i="39" s="1"/>
  <c r="BL41" i="10" s="1"/>
  <c r="F28" i="39"/>
  <c r="G28" i="39" s="1"/>
  <c r="H28" i="39" s="1"/>
  <c r="BL33" i="10" s="1"/>
  <c r="F20" i="39"/>
  <c r="G20" i="39" s="1"/>
  <c r="H20" i="39" s="1"/>
  <c r="BL25" i="10" s="1"/>
  <c r="F12" i="39"/>
  <c r="G12" i="39" s="1"/>
  <c r="H12" i="39" s="1"/>
  <c r="BL17" i="10" s="1"/>
  <c r="F4" i="39"/>
  <c r="G4" i="39" s="1"/>
  <c r="H4" i="39" s="1"/>
  <c r="BL9" i="10" s="1"/>
  <c r="L2" i="37"/>
  <c r="F33" i="39"/>
  <c r="G33" i="39" s="1"/>
  <c r="H33" i="39" s="1"/>
  <c r="BL38" i="10" s="1"/>
  <c r="F29" i="39"/>
  <c r="G29" i="39" s="1"/>
  <c r="H29" i="39" s="1"/>
  <c r="BL34" i="10" s="1"/>
  <c r="F25" i="39"/>
  <c r="G25" i="39" s="1"/>
  <c r="H25" i="39" s="1"/>
  <c r="BL30" i="10" s="1"/>
  <c r="F21" i="39"/>
  <c r="G21" i="39" s="1"/>
  <c r="H21" i="39" s="1"/>
  <c r="BL26" i="10" s="1"/>
  <c r="F17" i="39"/>
  <c r="G17" i="39" s="1"/>
  <c r="H17" i="39" s="1"/>
  <c r="BL22" i="10" s="1"/>
  <c r="F13" i="39"/>
  <c r="G13" i="39" s="1"/>
  <c r="H13" i="39" s="1"/>
  <c r="BL18" i="10" s="1"/>
  <c r="F9" i="39"/>
  <c r="G9" i="39" s="1"/>
  <c r="H9" i="39" s="1"/>
  <c r="BL14" i="10" s="1"/>
  <c r="F39" i="39"/>
  <c r="G39" i="39" s="1"/>
  <c r="H39" i="39" s="1"/>
  <c r="BL44" i="10" s="1"/>
  <c r="F35" i="39"/>
  <c r="G35" i="39" s="1"/>
  <c r="H35" i="39" s="1"/>
  <c r="BL40" i="10" s="1"/>
  <c r="F27" i="39"/>
  <c r="G27" i="39" s="1"/>
  <c r="H27" i="39" s="1"/>
  <c r="BL32" i="10" s="1"/>
  <c r="F19" i="39"/>
  <c r="G19" i="39" s="1"/>
  <c r="H19" i="39" s="1"/>
  <c r="BL24" i="10" s="1"/>
  <c r="F11" i="39"/>
  <c r="G11" i="39" s="1"/>
  <c r="H11" i="39" s="1"/>
  <c r="BL16" i="10" s="1"/>
  <c r="F3" i="39"/>
  <c r="G3" i="39" s="1"/>
  <c r="H3" i="39" s="1"/>
  <c r="BL8" i="10" s="1"/>
  <c r="F37" i="39"/>
  <c r="G37" i="39" s="1"/>
  <c r="H37" i="39" s="1"/>
  <c r="BL42" i="10" s="1"/>
  <c r="O52" i="28"/>
  <c r="S43" i="28" l="1"/>
  <c r="S42" i="28"/>
  <c r="O27" i="28" l="1"/>
  <c r="O21" i="28"/>
  <c r="Y24" i="10" l="1"/>
  <c r="X28" i="10" s="1"/>
  <c r="Y23" i="10"/>
  <c r="U19" i="10" l="1"/>
  <c r="M41" i="38" l="1"/>
  <c r="K41" i="38"/>
  <c r="N41" i="38" s="1"/>
  <c r="M40" i="38"/>
  <c r="K40" i="38"/>
  <c r="N40" i="38" s="1"/>
  <c r="M39" i="38"/>
  <c r="K39" i="38"/>
  <c r="N39" i="38" s="1"/>
  <c r="M38" i="38"/>
  <c r="K38" i="38"/>
  <c r="N38" i="38" s="1"/>
  <c r="M37" i="38"/>
  <c r="K37" i="38"/>
  <c r="N37" i="38" s="1"/>
  <c r="M36" i="38"/>
  <c r="K36" i="38"/>
  <c r="N36" i="38" s="1"/>
  <c r="M35" i="38"/>
  <c r="K35" i="38"/>
  <c r="N35" i="38" s="1"/>
  <c r="M34" i="38"/>
  <c r="K34" i="38"/>
  <c r="N34" i="38" s="1"/>
  <c r="M33" i="38"/>
  <c r="K33" i="38"/>
  <c r="N33" i="38" s="1"/>
  <c r="M32" i="38"/>
  <c r="K32" i="38"/>
  <c r="N32" i="38" s="1"/>
  <c r="M31" i="38"/>
  <c r="K31" i="38"/>
  <c r="N31" i="38" s="1"/>
  <c r="M30" i="38"/>
  <c r="K30" i="38"/>
  <c r="N30" i="38" s="1"/>
  <c r="M29" i="38"/>
  <c r="K29" i="38"/>
  <c r="N29" i="38" s="1"/>
  <c r="M28" i="38"/>
  <c r="K28" i="38"/>
  <c r="N28" i="38" s="1"/>
  <c r="M27" i="38"/>
  <c r="K27" i="38"/>
  <c r="N27" i="38" s="1"/>
  <c r="M26" i="38"/>
  <c r="K26" i="38"/>
  <c r="N26" i="38" s="1"/>
  <c r="M25" i="38"/>
  <c r="K25" i="38"/>
  <c r="N25" i="38" s="1"/>
  <c r="N24" i="38"/>
  <c r="M24" i="38"/>
  <c r="K24" i="38"/>
  <c r="M23" i="38"/>
  <c r="K23" i="38"/>
  <c r="N23" i="38" s="1"/>
  <c r="M22" i="38"/>
  <c r="K22" i="38"/>
  <c r="N22" i="38" s="1"/>
  <c r="M21" i="38"/>
  <c r="K21" i="38"/>
  <c r="N21" i="38" s="1"/>
  <c r="N20" i="38"/>
  <c r="M20" i="38"/>
  <c r="K20" i="38"/>
  <c r="M19" i="38"/>
  <c r="K19" i="38"/>
  <c r="N19" i="38" s="1"/>
  <c r="M18" i="38"/>
  <c r="K18" i="38"/>
  <c r="N18" i="38" s="1"/>
  <c r="M17" i="38"/>
  <c r="K17" i="38"/>
  <c r="N17" i="38" s="1"/>
  <c r="M16" i="38"/>
  <c r="K16" i="38"/>
  <c r="N16" i="38" s="1"/>
  <c r="M15" i="38"/>
  <c r="K15" i="38"/>
  <c r="N15" i="38" s="1"/>
  <c r="M14" i="38"/>
  <c r="K14" i="38"/>
  <c r="N14" i="38" s="1"/>
  <c r="L14" i="38" s="1"/>
  <c r="M13" i="38"/>
  <c r="K13" i="38"/>
  <c r="N13" i="38" s="1"/>
  <c r="M12" i="38"/>
  <c r="K12" i="38"/>
  <c r="N12" i="38" s="1"/>
  <c r="M11" i="38"/>
  <c r="K11" i="38"/>
  <c r="N11" i="38" s="1"/>
  <c r="M10" i="38"/>
  <c r="K10" i="38"/>
  <c r="N10" i="38" s="1"/>
  <c r="L10" i="38" s="1"/>
  <c r="M9" i="38"/>
  <c r="K9" i="38"/>
  <c r="N9" i="38" s="1"/>
  <c r="M8" i="38"/>
  <c r="K8" i="38"/>
  <c r="N8" i="38" s="1"/>
  <c r="M7" i="38"/>
  <c r="K7" i="38"/>
  <c r="N7" i="38" s="1"/>
  <c r="M6" i="38"/>
  <c r="K6" i="38"/>
  <c r="N6" i="38" s="1"/>
  <c r="M5" i="38"/>
  <c r="K5" i="38"/>
  <c r="N5" i="38" s="1"/>
  <c r="M4" i="38"/>
  <c r="K4" i="38"/>
  <c r="N4" i="38" s="1"/>
  <c r="M3" i="38"/>
  <c r="K3" i="38"/>
  <c r="N3" i="38" s="1"/>
  <c r="M2" i="38"/>
  <c r="K2" i="38"/>
  <c r="N2" i="38" s="1"/>
  <c r="L24" i="38" l="1"/>
  <c r="L26" i="38"/>
  <c r="L30" i="38"/>
  <c r="L28" i="38"/>
  <c r="L18" i="38"/>
  <c r="L32" i="38"/>
  <c r="L4" i="38"/>
  <c r="L22" i="38"/>
  <c r="L36" i="38"/>
  <c r="L40" i="38"/>
  <c r="L8" i="38"/>
  <c r="L12" i="38"/>
  <c r="L2" i="38"/>
  <c r="L16" i="38"/>
  <c r="L34" i="38"/>
  <c r="L6" i="38"/>
  <c r="L20" i="38"/>
  <c r="L38" i="38"/>
  <c r="L31" i="38"/>
  <c r="L39" i="38"/>
  <c r="L7" i="38"/>
  <c r="L15" i="38"/>
  <c r="L5" i="38"/>
  <c r="L21" i="38"/>
  <c r="L29" i="38"/>
  <c r="L11" i="38"/>
  <c r="L23" i="38"/>
  <c r="L13" i="38"/>
  <c r="L37" i="38"/>
  <c r="L3" i="38"/>
  <c r="L19" i="38"/>
  <c r="L27" i="38"/>
  <c r="L35" i="38"/>
  <c r="L9" i="38"/>
  <c r="L17" i="38"/>
  <c r="L25" i="38"/>
  <c r="L33" i="38"/>
  <c r="L41" i="38"/>
  <c r="N48" i="37" l="1"/>
  <c r="L48" i="37"/>
  <c r="O48" i="37" s="1"/>
  <c r="N47" i="37"/>
  <c r="L47" i="37"/>
  <c r="O47" i="37" s="1"/>
  <c r="N46" i="37"/>
  <c r="L46" i="37"/>
  <c r="O46" i="37" s="1"/>
  <c r="N45" i="37"/>
  <c r="L45" i="37"/>
  <c r="O45" i="37" s="1"/>
  <c r="N44" i="37"/>
  <c r="L44" i="37"/>
  <c r="O44" i="37" s="1"/>
  <c r="N43" i="37"/>
  <c r="L43" i="37"/>
  <c r="O43" i="37" s="1"/>
  <c r="N42" i="37"/>
  <c r="L42" i="37"/>
  <c r="O42" i="37" s="1"/>
  <c r="N41" i="37"/>
  <c r="L41" i="37"/>
  <c r="O41" i="37" s="1"/>
  <c r="N40" i="37"/>
  <c r="L40" i="37"/>
  <c r="O40" i="37" s="1"/>
  <c r="N39" i="37"/>
  <c r="L39" i="37"/>
  <c r="O39" i="37" s="1"/>
  <c r="N38" i="37"/>
  <c r="L38" i="37"/>
  <c r="O38" i="37" s="1"/>
  <c r="N37" i="37"/>
  <c r="L37" i="37"/>
  <c r="O37" i="37" s="1"/>
  <c r="N36" i="37"/>
  <c r="L36" i="37"/>
  <c r="O36" i="37" s="1"/>
  <c r="N35" i="37"/>
  <c r="L35" i="37"/>
  <c r="O35" i="37" s="1"/>
  <c r="N34" i="37"/>
  <c r="L34" i="37"/>
  <c r="O34" i="37" s="1"/>
  <c r="N33" i="37"/>
  <c r="L33" i="37"/>
  <c r="O33" i="37" s="1"/>
  <c r="N32" i="37"/>
  <c r="L32" i="37"/>
  <c r="O32" i="37" s="1"/>
  <c r="N31" i="37"/>
  <c r="L31" i="37"/>
  <c r="O31" i="37" s="1"/>
  <c r="N30" i="37"/>
  <c r="L30" i="37"/>
  <c r="O30" i="37" s="1"/>
  <c r="N29" i="37"/>
  <c r="L29" i="37"/>
  <c r="O29" i="37" s="1"/>
  <c r="N28" i="37"/>
  <c r="L28" i="37"/>
  <c r="O28" i="37" s="1"/>
  <c r="N27" i="37"/>
  <c r="L27" i="37"/>
  <c r="O27" i="37" s="1"/>
  <c r="N26" i="37"/>
  <c r="L26" i="37"/>
  <c r="O26" i="37" s="1"/>
  <c r="N25" i="37"/>
  <c r="L25" i="37"/>
  <c r="O25" i="37" s="1"/>
  <c r="N24" i="37"/>
  <c r="L24" i="37"/>
  <c r="O24" i="37" s="1"/>
  <c r="N23" i="37"/>
  <c r="L23" i="37"/>
  <c r="O23" i="37" s="1"/>
  <c r="N22" i="37"/>
  <c r="L22" i="37"/>
  <c r="O22" i="37" s="1"/>
  <c r="N21" i="37"/>
  <c r="L21" i="37"/>
  <c r="O21" i="37" s="1"/>
  <c r="N20" i="37"/>
  <c r="L20" i="37"/>
  <c r="O20" i="37" s="1"/>
  <c r="N19" i="37"/>
  <c r="L19" i="37"/>
  <c r="O19" i="37" s="1"/>
  <c r="N18" i="37"/>
  <c r="L18" i="37"/>
  <c r="O18" i="37" s="1"/>
  <c r="N17" i="37"/>
  <c r="L17" i="37"/>
  <c r="O17" i="37" s="1"/>
  <c r="N16" i="37"/>
  <c r="L16" i="37"/>
  <c r="O16" i="37" s="1"/>
  <c r="N15" i="37"/>
  <c r="L15" i="37"/>
  <c r="O15" i="37" s="1"/>
  <c r="N14" i="37"/>
  <c r="L14" i="37"/>
  <c r="O14" i="37" s="1"/>
  <c r="N13" i="37"/>
  <c r="L13" i="37"/>
  <c r="O13" i="37" s="1"/>
  <c r="N12" i="37"/>
  <c r="L12" i="37"/>
  <c r="O12" i="37" s="1"/>
  <c r="N11" i="37"/>
  <c r="L11" i="37"/>
  <c r="O11" i="37" s="1"/>
  <c r="N10" i="37"/>
  <c r="L10" i="37"/>
  <c r="O10" i="37" s="1"/>
  <c r="N9" i="37"/>
  <c r="L9" i="37"/>
  <c r="O9" i="37" s="1"/>
  <c r="N8" i="37"/>
  <c r="L8" i="37"/>
  <c r="O8" i="37" s="1"/>
  <c r="N7" i="37"/>
  <c r="L7" i="37"/>
  <c r="O7" i="37" s="1"/>
  <c r="N6" i="37"/>
  <c r="L6" i="37"/>
  <c r="O6" i="37" s="1"/>
  <c r="N5" i="37"/>
  <c r="L5" i="37"/>
  <c r="O5" i="37" s="1"/>
  <c r="N4" i="37"/>
  <c r="L4" i="37"/>
  <c r="O4" i="37" s="1"/>
  <c r="N3" i="37"/>
  <c r="L3" i="37"/>
  <c r="O3" i="37" s="1"/>
  <c r="N2" i="37"/>
  <c r="O2" i="37"/>
  <c r="M33" i="37" l="1"/>
  <c r="M41" i="37"/>
  <c r="M10" i="37"/>
  <c r="M7" i="37"/>
  <c r="M11" i="37"/>
  <c r="M34" i="37"/>
  <c r="M42" i="37"/>
  <c r="M46" i="37"/>
  <c r="M19" i="37"/>
  <c r="M25" i="37"/>
  <c r="M29" i="37"/>
  <c r="M17" i="37"/>
  <c r="M14" i="37"/>
  <c r="M18" i="37"/>
  <c r="M26" i="37"/>
  <c r="M27" i="37"/>
  <c r="M31" i="37"/>
  <c r="M32" i="37"/>
  <c r="M40" i="37"/>
  <c r="M48" i="37"/>
  <c r="M21" i="37"/>
  <c r="M35" i="37"/>
  <c r="M39" i="37"/>
  <c r="M15" i="37"/>
  <c r="M22" i="37"/>
  <c r="M36" i="37"/>
  <c r="M43" i="37"/>
  <c r="M47" i="37"/>
  <c r="M5" i="37"/>
  <c r="M23" i="37"/>
  <c r="M30" i="37"/>
  <c r="M37" i="37"/>
  <c r="M44" i="37"/>
  <c r="M9" i="37"/>
  <c r="M6" i="37"/>
  <c r="M13" i="37"/>
  <c r="M38" i="37"/>
  <c r="M45" i="37"/>
  <c r="M3" i="37"/>
  <c r="M2" i="37"/>
  <c r="M4" i="37"/>
  <c r="M8" i="37"/>
  <c r="M12" i="37"/>
  <c r="M16" i="37"/>
  <c r="M20" i="37"/>
  <c r="M24" i="37"/>
  <c r="M28" i="37"/>
  <c r="W30" i="10"/>
  <c r="W31" i="10"/>
  <c r="W32" i="10"/>
  <c r="W33" i="10"/>
  <c r="W34" i="10"/>
  <c r="W35" i="10"/>
  <c r="W36" i="10"/>
  <c r="W37" i="10"/>
  <c r="W38" i="10"/>
  <c r="AZ101" i="10" l="1"/>
  <c r="AZ102" i="10"/>
  <c r="AZ103" i="10"/>
  <c r="AZ104" i="10"/>
  <c r="AZ105" i="10"/>
  <c r="AZ31" i="10"/>
  <c r="AZ32" i="10"/>
  <c r="AZ33" i="10"/>
  <c r="AZ34" i="10"/>
  <c r="AZ35" i="10"/>
  <c r="AZ36" i="10"/>
  <c r="AZ37" i="10"/>
  <c r="AZ38" i="10"/>
  <c r="AZ40" i="10"/>
  <c r="AZ41" i="10"/>
  <c r="AZ42" i="10"/>
  <c r="AZ43" i="10"/>
  <c r="AZ44" i="10"/>
  <c r="AZ45" i="10"/>
  <c r="AZ46" i="10"/>
  <c r="AZ47" i="10"/>
  <c r="AZ48" i="10"/>
  <c r="AZ49" i="10"/>
  <c r="AZ50" i="10"/>
  <c r="AZ51" i="10"/>
  <c r="AZ52" i="10"/>
  <c r="AZ53" i="10"/>
  <c r="AZ54" i="10"/>
  <c r="AZ55" i="10"/>
  <c r="AZ56" i="10"/>
  <c r="AZ57" i="10"/>
  <c r="AZ58" i="10"/>
  <c r="AZ59" i="10"/>
  <c r="AZ60" i="10"/>
  <c r="AZ61" i="10"/>
  <c r="AZ62" i="10"/>
  <c r="AZ63" i="10"/>
  <c r="AZ64" i="10"/>
  <c r="AZ65" i="10"/>
  <c r="AZ66" i="10"/>
  <c r="AZ67" i="10"/>
  <c r="AZ68" i="10"/>
  <c r="AZ69" i="10"/>
  <c r="AZ70" i="10"/>
  <c r="AZ71" i="10"/>
  <c r="AZ72" i="10"/>
  <c r="AZ73" i="10"/>
  <c r="AZ74" i="10"/>
  <c r="AZ75" i="10"/>
  <c r="AZ76" i="10"/>
  <c r="AZ77" i="10"/>
  <c r="AZ78" i="10"/>
  <c r="AZ79" i="10"/>
  <c r="AZ80" i="10"/>
  <c r="AZ81" i="10"/>
  <c r="AZ82" i="10"/>
  <c r="AZ83" i="10"/>
  <c r="AZ84" i="10"/>
  <c r="AZ85" i="10"/>
  <c r="AZ86" i="10"/>
  <c r="AZ87" i="10"/>
  <c r="AZ88" i="10"/>
  <c r="AZ89" i="10"/>
  <c r="AZ90" i="10"/>
  <c r="AZ91" i="10"/>
  <c r="AZ92" i="10"/>
  <c r="AZ93" i="10"/>
  <c r="AZ94" i="10"/>
  <c r="AZ95" i="10"/>
  <c r="AZ96" i="10"/>
  <c r="AZ97" i="10"/>
  <c r="AZ98" i="10"/>
  <c r="AZ99" i="10"/>
  <c r="AZ100" i="10"/>
  <c r="W29" i="10" s="1"/>
  <c r="AZ9" i="10"/>
  <c r="AZ10" i="10"/>
  <c r="AZ11" i="10"/>
  <c r="AZ12" i="10"/>
  <c r="AZ13" i="10"/>
  <c r="AZ14" i="10"/>
  <c r="AZ15" i="10"/>
  <c r="AZ16" i="10"/>
  <c r="AZ17" i="10"/>
  <c r="AZ18" i="10"/>
  <c r="AZ19" i="10"/>
  <c r="AZ20" i="10"/>
  <c r="AZ21" i="10"/>
  <c r="AZ22" i="10"/>
  <c r="AZ23" i="10"/>
  <c r="AZ24" i="10"/>
  <c r="AZ25" i="10"/>
  <c r="AZ26" i="10"/>
  <c r="AZ27" i="10"/>
  <c r="AZ28" i="10"/>
  <c r="AZ29" i="10"/>
  <c r="AZ30" i="10"/>
  <c r="AZ8" i="10"/>
  <c r="AZ7" i="10"/>
  <c r="BR211" i="10" l="1"/>
  <c r="BR212" i="10"/>
  <c r="BR213" i="10"/>
  <c r="BR214" i="10"/>
  <c r="BR215" i="10"/>
  <c r="BR216" i="10"/>
  <c r="BR217" i="10"/>
  <c r="BR218" i="10"/>
  <c r="BR219" i="10"/>
  <c r="BR220" i="10"/>
  <c r="BR221" i="10"/>
  <c r="BR222" i="10"/>
  <c r="BR223" i="10"/>
  <c r="BR224" i="10"/>
  <c r="BR225" i="10"/>
  <c r="BR226" i="10"/>
  <c r="BR227" i="10"/>
  <c r="BR228" i="10"/>
  <c r="BR229" i="10"/>
  <c r="BR230" i="10"/>
  <c r="BR231" i="10"/>
  <c r="BR232" i="10"/>
  <c r="BR233" i="10"/>
  <c r="BR234" i="10"/>
  <c r="BR235" i="10"/>
  <c r="BR236" i="10"/>
  <c r="BR237" i="10"/>
  <c r="BR238" i="10"/>
  <c r="BR239" i="10"/>
  <c r="BR240" i="10"/>
  <c r="BR241" i="10"/>
  <c r="BR242" i="10"/>
  <c r="BR243" i="10"/>
  <c r="BR244" i="10"/>
  <c r="BR245" i="10"/>
  <c r="BR246" i="10"/>
  <c r="BR247" i="10"/>
  <c r="BR248" i="10"/>
  <c r="BR249" i="10"/>
  <c r="BR250" i="10"/>
  <c r="BR251" i="10"/>
  <c r="BR252" i="10"/>
  <c r="BR253" i="10"/>
  <c r="BR254" i="10"/>
  <c r="BR255" i="10"/>
  <c r="BR256" i="10"/>
  <c r="BR257" i="10"/>
  <c r="BR258" i="10"/>
  <c r="BR259" i="10"/>
  <c r="BR260" i="10"/>
  <c r="BR261" i="10"/>
  <c r="BR262" i="10"/>
  <c r="BR263" i="10"/>
  <c r="BR264" i="10"/>
  <c r="BR265" i="10"/>
  <c r="BR266" i="10"/>
  <c r="BR267" i="10"/>
  <c r="BR268" i="10"/>
  <c r="BR269" i="10"/>
  <c r="BR270" i="10"/>
  <c r="BR271" i="10"/>
  <c r="BR272" i="10"/>
  <c r="BR273" i="10"/>
  <c r="BR274" i="10"/>
  <c r="BR275" i="10"/>
  <c r="BR276" i="10"/>
  <c r="BR210" i="10"/>
  <c r="BR193" i="10"/>
  <c r="BR194" i="10"/>
  <c r="BR195" i="10"/>
  <c r="BR196" i="10"/>
  <c r="BR197" i="10"/>
  <c r="BR198" i="10"/>
  <c r="BR199" i="10"/>
  <c r="BR200" i="10"/>
  <c r="BR201" i="10"/>
  <c r="BR202" i="10"/>
  <c r="BR203" i="10"/>
  <c r="BR204" i="10"/>
  <c r="BR205" i="10"/>
  <c r="BR206" i="10"/>
  <c r="BR207" i="10"/>
  <c r="BR208" i="10"/>
  <c r="BR192" i="10"/>
  <c r="BR126" i="10"/>
  <c r="BR127" i="10"/>
  <c r="BR128" i="10"/>
  <c r="BR129" i="10"/>
  <c r="BR130" i="10"/>
  <c r="BR131" i="10"/>
  <c r="BR132" i="10"/>
  <c r="BR133" i="10"/>
  <c r="BR134" i="10"/>
  <c r="BR135" i="10"/>
  <c r="BR136" i="10"/>
  <c r="BR137" i="10"/>
  <c r="BR138" i="10"/>
  <c r="BR139" i="10"/>
  <c r="BR140" i="10"/>
  <c r="BR141" i="10"/>
  <c r="BR142" i="10"/>
  <c r="BR143" i="10"/>
  <c r="BR144" i="10"/>
  <c r="BR145" i="10"/>
  <c r="BR146" i="10"/>
  <c r="BR147" i="10"/>
  <c r="BR148" i="10"/>
  <c r="BR149" i="10"/>
  <c r="BR150" i="10"/>
  <c r="BR151" i="10"/>
  <c r="BR152" i="10"/>
  <c r="BR153" i="10"/>
  <c r="BR154" i="10"/>
  <c r="BR155" i="10"/>
  <c r="BR156" i="10"/>
  <c r="BR157" i="10"/>
  <c r="BR158" i="10"/>
  <c r="BR159" i="10"/>
  <c r="BR160" i="10"/>
  <c r="BR161" i="10"/>
  <c r="BR162" i="10"/>
  <c r="BR163" i="10"/>
  <c r="BR164" i="10"/>
  <c r="BR165" i="10"/>
  <c r="BR166" i="10"/>
  <c r="BR167" i="10"/>
  <c r="BR168" i="10"/>
  <c r="BR169" i="10"/>
  <c r="BR170" i="10"/>
  <c r="BR171" i="10"/>
  <c r="BR172" i="10"/>
  <c r="BR173" i="10"/>
  <c r="BR174" i="10"/>
  <c r="BR175" i="10"/>
  <c r="BR176" i="10"/>
  <c r="BR177" i="10"/>
  <c r="BR178" i="10"/>
  <c r="BR179" i="10"/>
  <c r="BR180" i="10"/>
  <c r="BR181" i="10"/>
  <c r="BR182" i="10"/>
  <c r="BR183" i="10"/>
  <c r="BR184" i="10"/>
  <c r="BR185" i="10"/>
  <c r="BR186" i="10"/>
  <c r="BR187" i="10"/>
  <c r="BR188" i="10"/>
  <c r="BR189" i="10"/>
  <c r="BR190" i="10"/>
  <c r="BR191" i="10"/>
  <c r="BR125" i="10"/>
  <c r="BR108" i="10"/>
  <c r="BR109" i="10"/>
  <c r="BR110" i="10"/>
  <c r="BR111" i="10"/>
  <c r="BR112" i="10"/>
  <c r="BR113" i="10"/>
  <c r="BR114" i="10"/>
  <c r="BR115" i="10"/>
  <c r="BR116" i="10"/>
  <c r="BR117" i="10"/>
  <c r="BR118" i="10"/>
  <c r="BR119" i="10"/>
  <c r="BR120" i="10"/>
  <c r="BR121" i="10"/>
  <c r="BR122" i="10"/>
  <c r="BR123" i="10"/>
  <c r="BR107" i="10"/>
  <c r="BW20" i="10"/>
  <c r="BV20" i="10"/>
  <c r="M5" i="10" l="1"/>
  <c r="EK11" i="10"/>
  <c r="E48" i="10" l="1"/>
  <c r="I34" i="10" l="1"/>
  <c r="I39" i="10" s="1"/>
  <c r="BP17" i="10"/>
  <c r="BP18" i="10"/>
  <c r="BP19" i="10"/>
  <c r="BP20" i="10"/>
  <c r="BP21" i="10"/>
  <c r="BP22" i="10"/>
  <c r="BP23" i="10"/>
  <c r="BP24" i="10"/>
  <c r="BP25" i="10"/>
  <c r="BP26" i="10"/>
  <c r="BP27" i="10"/>
  <c r="BP28" i="10"/>
  <c r="BP29" i="10"/>
  <c r="BP30" i="10"/>
  <c r="BP31" i="10"/>
  <c r="BP16" i="10"/>
  <c r="BG8" i="10"/>
  <c r="BG9" i="10"/>
  <c r="BG10" i="10"/>
  <c r="BG11" i="10"/>
  <c r="BG12" i="10"/>
  <c r="BG13" i="10"/>
  <c r="BG14" i="10"/>
  <c r="BG15" i="10"/>
  <c r="BG16" i="10"/>
  <c r="BG17" i="10"/>
  <c r="BG18" i="10"/>
  <c r="BG19" i="10"/>
  <c r="BG20" i="10"/>
  <c r="BG21" i="10"/>
  <c r="BG22" i="10"/>
  <c r="BG23" i="10"/>
  <c r="BG24" i="10"/>
  <c r="BG25" i="10"/>
  <c r="BG26" i="10"/>
  <c r="BG27" i="10"/>
  <c r="BG28" i="10"/>
  <c r="BG29" i="10"/>
  <c r="BG30" i="10"/>
  <c r="BG31" i="10"/>
  <c r="BG32" i="10"/>
  <c r="BG33" i="10"/>
  <c r="BG34" i="10"/>
  <c r="BG35" i="10"/>
  <c r="BG36" i="10"/>
  <c r="BG37" i="10"/>
  <c r="BG38" i="10"/>
  <c r="BG40" i="10"/>
  <c r="BG41" i="10"/>
  <c r="BG42" i="10"/>
  <c r="BG43" i="10"/>
  <c r="BG44" i="10"/>
  <c r="BG45" i="10"/>
  <c r="BG46" i="10"/>
  <c r="BG47" i="10"/>
  <c r="BG48" i="10"/>
  <c r="BG49" i="10"/>
  <c r="BG50" i="10"/>
  <c r="BG51" i="10"/>
  <c r="BG52" i="10"/>
  <c r="BG53" i="10"/>
  <c r="BG54" i="10"/>
  <c r="BG7" i="10"/>
  <c r="EK10" i="10" l="1"/>
  <c r="EK12" i="10" l="1"/>
  <c r="F94" i="10" l="1"/>
  <c r="F95" i="10"/>
  <c r="F96" i="10"/>
  <c r="F97" i="10"/>
  <c r="F98" i="10"/>
  <c r="F99" i="10"/>
  <c r="F100" i="10"/>
  <c r="F101" i="10"/>
  <c r="F102" i="10"/>
  <c r="F103" i="10"/>
  <c r="F104" i="10"/>
  <c r="F105" i="10"/>
  <c r="F106" i="10"/>
  <c r="F93" i="10"/>
  <c r="L28" i="10" s="1"/>
  <c r="D94" i="10" l="1"/>
  <c r="D95" i="10"/>
  <c r="D96" i="10"/>
  <c r="D97" i="10"/>
  <c r="D98" i="10"/>
  <c r="D99" i="10"/>
  <c r="D100" i="10"/>
  <c r="D101" i="10"/>
  <c r="D102" i="10"/>
  <c r="D103" i="10"/>
  <c r="D104" i="10"/>
  <c r="D105" i="10"/>
  <c r="D106" i="10"/>
  <c r="D93" i="10"/>
  <c r="E50" i="10"/>
  <c r="E51" i="10"/>
  <c r="D51" i="10"/>
  <c r="D64" i="10"/>
  <c r="B65" i="10"/>
  <c r="C87" i="10"/>
  <c r="B88" i="10"/>
  <c r="B87" i="10"/>
  <c r="E80" i="10"/>
  <c r="E81" i="10"/>
  <c r="E79" i="10"/>
  <c r="D80" i="10"/>
  <c r="D81" i="10"/>
  <c r="D82" i="10"/>
  <c r="D79" i="10"/>
  <c r="C80" i="10"/>
  <c r="C81" i="10"/>
  <c r="C82" i="10"/>
  <c r="C83" i="10"/>
  <c r="C79" i="10"/>
  <c r="B80" i="10"/>
  <c r="B81" i="10"/>
  <c r="B82" i="10"/>
  <c r="B83" i="10"/>
  <c r="B84" i="10"/>
  <c r="B79" i="10"/>
  <c r="E68" i="10"/>
  <c r="E69" i="10"/>
  <c r="E70" i="10"/>
  <c r="E71" i="10"/>
  <c r="E72" i="10"/>
  <c r="E73" i="10"/>
  <c r="E67" i="10"/>
  <c r="D68" i="10"/>
  <c r="D69" i="10"/>
  <c r="D70" i="10"/>
  <c r="D71" i="10"/>
  <c r="D72" i="10"/>
  <c r="D73" i="10"/>
  <c r="D74" i="10"/>
  <c r="D67" i="10"/>
  <c r="C68" i="10"/>
  <c r="C69" i="10"/>
  <c r="C70" i="10"/>
  <c r="C71" i="10"/>
  <c r="C72" i="10"/>
  <c r="C73" i="10"/>
  <c r="C74" i="10"/>
  <c r="C75" i="10"/>
  <c r="C67" i="10"/>
  <c r="B68" i="10"/>
  <c r="B69" i="10"/>
  <c r="B70" i="10"/>
  <c r="B71" i="10"/>
  <c r="B72" i="10"/>
  <c r="B73" i="10"/>
  <c r="B74" i="10"/>
  <c r="B75" i="10"/>
  <c r="B76" i="10"/>
  <c r="B67" i="10"/>
  <c r="E53" i="10"/>
  <c r="E54" i="10"/>
  <c r="E55" i="10"/>
  <c r="E56" i="10"/>
  <c r="E57" i="10"/>
  <c r="E58" i="10"/>
  <c r="E59" i="10"/>
  <c r="E60" i="10"/>
  <c r="E61" i="10"/>
  <c r="E62" i="10"/>
  <c r="E52" i="10"/>
  <c r="D53" i="10"/>
  <c r="D54" i="10"/>
  <c r="D55" i="10"/>
  <c r="D56" i="10"/>
  <c r="D57" i="10"/>
  <c r="D58" i="10"/>
  <c r="D59" i="10"/>
  <c r="D60" i="10"/>
  <c r="D61" i="10"/>
  <c r="D62" i="10"/>
  <c r="D63" i="10"/>
  <c r="D52" i="10"/>
  <c r="B64" i="10"/>
  <c r="B56" i="10"/>
  <c r="B57" i="10"/>
  <c r="B58" i="10"/>
  <c r="B59" i="10"/>
  <c r="B60" i="10"/>
  <c r="B61" i="10"/>
  <c r="B62" i="10"/>
  <c r="B63" i="10"/>
  <c r="B54" i="10"/>
  <c r="B53" i="10"/>
  <c r="B52" i="10"/>
  <c r="B55" i="10"/>
  <c r="E94" i="10" l="1"/>
  <c r="E95" i="10" s="1"/>
  <c r="E96" i="10" s="1"/>
  <c r="E97" i="10" s="1"/>
  <c r="E98" i="10" s="1"/>
  <c r="B94" i="10"/>
  <c r="B93" i="10"/>
  <c r="V40" i="10"/>
  <c r="V41" i="10"/>
  <c r="V42" i="10"/>
  <c r="V43" i="10"/>
  <c r="FB2" i="10"/>
  <c r="FB3" i="10"/>
  <c r="FB4" i="10"/>
  <c r="FB5" i="10"/>
  <c r="FB6" i="10"/>
  <c r="FE7" i="10"/>
  <c r="FB8" i="10"/>
  <c r="FB9" i="10"/>
  <c r="FB10" i="10"/>
  <c r="FB11" i="10"/>
  <c r="FB12" i="10"/>
  <c r="FB13" i="10"/>
  <c r="FB14" i="10"/>
  <c r="FB15" i="10"/>
  <c r="FB16" i="10"/>
  <c r="FB17" i="10"/>
  <c r="FB18" i="10"/>
  <c r="FB19" i="10"/>
  <c r="FB20" i="10"/>
  <c r="FB21" i="10"/>
  <c r="FB22" i="10"/>
  <c r="FB23" i="10"/>
  <c r="FB24" i="10"/>
  <c r="FB25" i="10"/>
  <c r="FB26" i="10"/>
  <c r="FB27" i="10"/>
  <c r="FB28" i="10"/>
  <c r="FB29" i="10"/>
  <c r="FB30" i="10"/>
  <c r="FB31" i="10"/>
  <c r="FB32" i="10"/>
  <c r="FB33" i="10"/>
  <c r="FB34" i="10"/>
  <c r="FB35" i="10"/>
  <c r="FB36" i="10"/>
  <c r="FB37" i="10"/>
  <c r="FB38" i="10"/>
  <c r="FB40" i="10"/>
  <c r="FB41" i="10"/>
  <c r="FB42" i="10"/>
  <c r="FB43" i="10"/>
  <c r="FB44" i="10"/>
  <c r="FB45" i="10"/>
  <c r="FB46" i="10"/>
  <c r="FB47" i="10"/>
  <c r="FB48" i="10"/>
  <c r="FB49" i="10"/>
  <c r="FB50" i="10"/>
  <c r="FB51" i="10"/>
  <c r="FB52" i="10"/>
  <c r="FB53" i="10"/>
  <c r="FB54" i="10"/>
  <c r="FB55" i="10"/>
  <c r="FB56" i="10"/>
  <c r="FB57" i="10"/>
  <c r="FB58" i="10"/>
  <c r="FB59" i="10"/>
  <c r="FB60" i="10"/>
  <c r="FB61" i="10"/>
  <c r="FB62" i="10"/>
  <c r="FB63" i="10"/>
  <c r="FB64" i="10"/>
  <c r="FB65" i="10"/>
  <c r="FB66" i="10"/>
  <c r="FB67" i="10"/>
  <c r="FB68" i="10"/>
  <c r="FB69" i="10"/>
  <c r="FB70" i="10"/>
  <c r="FB71" i="10"/>
  <c r="FB72" i="10"/>
  <c r="FB73" i="10"/>
  <c r="FB74" i="10"/>
  <c r="FB76" i="10"/>
  <c r="FB77" i="10"/>
  <c r="FB75" i="10"/>
  <c r="FB78" i="10"/>
  <c r="FB79" i="10"/>
  <c r="FB80" i="10"/>
  <c r="FB81" i="10"/>
  <c r="FB82" i="10"/>
  <c r="FB7" i="10"/>
  <c r="E99" i="10" l="1"/>
  <c r="E100" i="10" s="1"/>
  <c r="E101" i="10" s="1"/>
  <c r="E102" i="10" l="1"/>
  <c r="W40" i="10"/>
  <c r="W41" i="10"/>
  <c r="W42" i="10"/>
  <c r="W43" i="10"/>
  <c r="DK7" i="10"/>
  <c r="DK8" i="10"/>
  <c r="DK9" i="10"/>
  <c r="DK10" i="10"/>
  <c r="DK11" i="10"/>
  <c r="DK12" i="10"/>
  <c r="DK13" i="10"/>
  <c r="DK14" i="10"/>
  <c r="DK15" i="10"/>
  <c r="DK16" i="10"/>
  <c r="DK17" i="10"/>
  <c r="DK18" i="10"/>
  <c r="DK19" i="10"/>
  <c r="DK6" i="10"/>
  <c r="M16" i="10"/>
  <c r="FC43" i="10" l="1"/>
  <c r="FD43" i="10" s="1"/>
  <c r="FC47" i="10"/>
  <c r="FD47" i="10" s="1"/>
  <c r="FC51" i="10"/>
  <c r="FD51" i="10" s="1"/>
  <c r="FC55" i="10"/>
  <c r="FD55" i="10" s="1"/>
  <c r="FC60" i="10"/>
  <c r="FD60" i="10" s="1"/>
  <c r="FC65" i="10"/>
  <c r="FD65" i="10" s="1"/>
  <c r="FC69" i="10"/>
  <c r="FD69" i="10" s="1"/>
  <c r="FC73" i="10"/>
  <c r="FD73" i="10" s="1"/>
  <c r="FD77" i="10"/>
  <c r="FC81" i="10"/>
  <c r="FD81" i="10" s="1"/>
  <c r="FC46" i="10"/>
  <c r="FD46" i="10" s="1"/>
  <c r="FC50" i="10"/>
  <c r="FD50" i="10" s="1"/>
  <c r="FC54" i="10"/>
  <c r="FD54" i="10" s="1"/>
  <c r="FC58" i="10"/>
  <c r="FD58" i="10" s="1"/>
  <c r="FC59" i="10"/>
  <c r="FD59" i="10" s="1"/>
  <c r="FC68" i="10"/>
  <c r="FD68" i="10" s="1"/>
  <c r="FD76" i="10"/>
  <c r="FC44" i="10"/>
  <c r="FD44" i="10" s="1"/>
  <c r="FC48" i="10"/>
  <c r="FD48" i="10" s="1"/>
  <c r="FC52" i="10"/>
  <c r="FD52" i="10" s="1"/>
  <c r="FC56" i="10"/>
  <c r="FD56" i="10" s="1"/>
  <c r="FC61" i="10"/>
  <c r="FD61" i="10" s="1"/>
  <c r="FC66" i="10"/>
  <c r="FD66" i="10" s="1"/>
  <c r="FC70" i="10"/>
  <c r="FD70" i="10" s="1"/>
  <c r="FC74" i="10"/>
  <c r="FD74" i="10" s="1"/>
  <c r="FC78" i="10"/>
  <c r="FD78" i="10" s="1"/>
  <c r="FC82" i="10"/>
  <c r="FD82" i="10" s="1"/>
  <c r="FC64" i="10"/>
  <c r="FD64" i="10" s="1"/>
  <c r="FC72" i="10"/>
  <c r="FD72" i="10" s="1"/>
  <c r="FC80" i="10"/>
  <c r="FD80" i="10" s="1"/>
  <c r="FC45" i="10"/>
  <c r="FD45" i="10" s="1"/>
  <c r="FC49" i="10"/>
  <c r="FD49" i="10" s="1"/>
  <c r="FC53" i="10"/>
  <c r="FD53" i="10" s="1"/>
  <c r="FC57" i="10"/>
  <c r="FD57" i="10" s="1"/>
  <c r="FC62" i="10"/>
  <c r="FD62" i="10" s="1"/>
  <c r="FC63" i="10"/>
  <c r="FD63" i="10" s="1"/>
  <c r="FC67" i="10"/>
  <c r="FD67" i="10" s="1"/>
  <c r="FC71" i="10"/>
  <c r="FD71" i="10" s="1"/>
  <c r="FD75" i="10"/>
  <c r="FC79" i="10"/>
  <c r="FD79" i="10" s="1"/>
  <c r="FD40" i="10"/>
  <c r="FD5" i="10"/>
  <c r="FD9" i="10"/>
  <c r="FD13" i="10"/>
  <c r="FD17" i="10"/>
  <c r="FD21" i="10"/>
  <c r="FD25" i="10"/>
  <c r="FD29" i="10"/>
  <c r="FD33" i="10"/>
  <c r="FD37" i="10"/>
  <c r="FD2" i="10"/>
  <c r="FD4" i="10"/>
  <c r="FD8" i="10"/>
  <c r="FD16" i="10"/>
  <c r="FD20" i="10"/>
  <c r="FD28" i="10"/>
  <c r="FD36" i="10"/>
  <c r="FD41" i="10"/>
  <c r="FD6" i="10"/>
  <c r="FD10" i="10"/>
  <c r="FD14" i="10"/>
  <c r="FD18" i="10"/>
  <c r="FD22" i="10"/>
  <c r="FD26" i="10"/>
  <c r="FD30" i="10"/>
  <c r="FD34" i="10"/>
  <c r="FD38" i="10"/>
  <c r="FD12" i="10"/>
  <c r="FD24" i="10"/>
  <c r="FD32" i="10"/>
  <c r="FD42" i="10"/>
  <c r="FD7" i="10"/>
  <c r="FD11" i="10"/>
  <c r="FD15" i="10"/>
  <c r="FD19" i="10"/>
  <c r="FD23" i="10"/>
  <c r="FD31" i="10"/>
  <c r="FD35" i="10"/>
  <c r="FD3" i="10"/>
  <c r="B33" i="10"/>
  <c r="B32" i="10"/>
  <c r="B40" i="10"/>
  <c r="L31" i="10"/>
  <c r="L30" i="10"/>
  <c r="G97" i="10"/>
  <c r="G103" i="10"/>
  <c r="L33" i="10"/>
  <c r="L29" i="10"/>
  <c r="G94" i="10"/>
  <c r="G101" i="10"/>
  <c r="G96" i="10"/>
  <c r="G100" i="10"/>
  <c r="G106" i="10"/>
  <c r="G98" i="10"/>
  <c r="G104" i="10"/>
  <c r="G99" i="10"/>
  <c r="G105" i="10"/>
  <c r="G95" i="10"/>
  <c r="L32" i="10"/>
  <c r="G90" i="10"/>
  <c r="G102" i="10"/>
  <c r="EP29" i="10"/>
  <c r="EP30" i="10"/>
  <c r="EP31" i="10"/>
  <c r="EP32" i="10"/>
  <c r="EP33" i="10"/>
  <c r="EP34" i="10"/>
  <c r="EP35" i="10"/>
  <c r="EP36" i="10"/>
  <c r="EP37" i="10"/>
  <c r="EP38" i="10"/>
  <c r="EP40" i="10"/>
  <c r="EP41" i="10"/>
  <c r="EP42" i="10"/>
  <c r="EP28" i="10"/>
  <c r="C18" i="10"/>
  <c r="C19" i="10"/>
  <c r="C20" i="10"/>
  <c r="C21" i="10"/>
  <c r="C22" i="10"/>
  <c r="C23" i="10"/>
  <c r="C24" i="10"/>
  <c r="C25" i="10"/>
  <c r="C26" i="10"/>
  <c r="C27" i="10"/>
  <c r="C28" i="10"/>
  <c r="C29" i="10"/>
  <c r="C30" i="10"/>
  <c r="C31" i="10"/>
  <c r="EO32" i="10"/>
  <c r="EO33" i="10"/>
  <c r="EO34" i="10"/>
  <c r="EO35" i="10"/>
  <c r="EO36" i="10"/>
  <c r="EO37" i="10"/>
  <c r="EO38" i="10"/>
  <c r="EO39" i="10"/>
  <c r="EO41" i="10"/>
  <c r="EO42" i="10"/>
  <c r="EO43" i="10"/>
  <c r="EO44" i="10"/>
  <c r="EO45" i="10"/>
  <c r="EO31" i="10"/>
  <c r="FD27" i="10" l="1"/>
  <c r="FF7" i="10"/>
  <c r="F56" i="10"/>
  <c r="DX83" i="10" l="1"/>
  <c r="DX82" i="10"/>
  <c r="DX81" i="10"/>
  <c r="BH50" i="10"/>
  <c r="DX80" i="10"/>
  <c r="BH49" i="10"/>
  <c r="DX79" i="10"/>
  <c r="BH48" i="10"/>
  <c r="DX78" i="10"/>
  <c r="BH47" i="10"/>
  <c r="DX77" i="10"/>
  <c r="BH46" i="10"/>
  <c r="DX76" i="10"/>
  <c r="BH45" i="10"/>
  <c r="DX75" i="10"/>
  <c r="BH44" i="10"/>
  <c r="DX74" i="10"/>
  <c r="BH43" i="10"/>
  <c r="DX73" i="10"/>
  <c r="BH42" i="10"/>
  <c r="DX72" i="10"/>
  <c r="BH41" i="10"/>
  <c r="DX71" i="10"/>
  <c r="BH40" i="10"/>
  <c r="DX70" i="10"/>
  <c r="BH38" i="10"/>
  <c r="DX69" i="10"/>
  <c r="DX68" i="10"/>
  <c r="DX67" i="10"/>
  <c r="DX66" i="10"/>
  <c r="DX65" i="10"/>
  <c r="DX64" i="10"/>
  <c r="DX63" i="10"/>
  <c r="DX62" i="10"/>
  <c r="CR62" i="10"/>
  <c r="DX61" i="10"/>
  <c r="CR61" i="10"/>
  <c r="CQ61" i="10"/>
  <c r="CP61" i="10"/>
  <c r="CO61" i="10"/>
  <c r="DX60" i="10"/>
  <c r="CR60" i="10"/>
  <c r="CQ60" i="10"/>
  <c r="CP60" i="10"/>
  <c r="CO60" i="10"/>
  <c r="DX59" i="10"/>
  <c r="CR59" i="10"/>
  <c r="CQ59" i="10"/>
  <c r="CP59" i="10"/>
  <c r="CO59" i="10"/>
  <c r="DX58" i="10"/>
  <c r="DX57" i="10"/>
  <c r="CI57" i="10"/>
  <c r="DX56" i="10"/>
  <c r="DX55" i="10"/>
  <c r="CU55" i="10"/>
  <c r="CS55" i="10"/>
  <c r="CQ55" i="10"/>
  <c r="CO55" i="10"/>
  <c r="DX54" i="10"/>
  <c r="CU54" i="10"/>
  <c r="CS54" i="10"/>
  <c r="CQ54" i="10"/>
  <c r="CO54" i="10"/>
  <c r="DX53" i="10"/>
  <c r="CU53" i="10"/>
  <c r="CS53" i="10"/>
  <c r="CQ53" i="10"/>
  <c r="CO53" i="10"/>
  <c r="DX52" i="10"/>
  <c r="CU52" i="10"/>
  <c r="CS52" i="10"/>
  <c r="CQ52" i="10"/>
  <c r="CO52" i="10"/>
  <c r="DX51" i="10"/>
  <c r="CU51" i="10"/>
  <c r="CS51" i="10"/>
  <c r="CQ51" i="10"/>
  <c r="CO51" i="10"/>
  <c r="DX50" i="10"/>
  <c r="CU50" i="10"/>
  <c r="CS50" i="10"/>
  <c r="CQ50" i="10"/>
  <c r="CO50" i="10"/>
  <c r="DX49" i="10"/>
  <c r="CU49" i="10"/>
  <c r="CS49" i="10"/>
  <c r="CQ49" i="10"/>
  <c r="CO49" i="10"/>
  <c r="DX48" i="10"/>
  <c r="CU48" i="10"/>
  <c r="CS48" i="10"/>
  <c r="CQ48" i="10"/>
  <c r="CO48" i="10"/>
  <c r="DX47" i="10"/>
  <c r="CU47" i="10"/>
  <c r="CS47" i="10"/>
  <c r="CQ47" i="10"/>
  <c r="CO47" i="10"/>
  <c r="DX46" i="10"/>
  <c r="CU46" i="10"/>
  <c r="CS46" i="10"/>
  <c r="CQ46" i="10"/>
  <c r="CO46" i="10"/>
  <c r="DX45" i="10"/>
  <c r="CU45" i="10"/>
  <c r="CS45" i="10"/>
  <c r="CQ45" i="10"/>
  <c r="CO45" i="10"/>
  <c r="DX44" i="10"/>
  <c r="CU44" i="10"/>
  <c r="CS44" i="10"/>
  <c r="CQ44" i="10"/>
  <c r="CO44" i="10"/>
  <c r="DX43" i="10"/>
  <c r="CU43" i="10"/>
  <c r="CS43" i="10"/>
  <c r="CQ43" i="10"/>
  <c r="CO43" i="10"/>
  <c r="X43" i="10"/>
  <c r="U43" i="10"/>
  <c r="H31" i="10" s="1"/>
  <c r="DX42" i="10"/>
  <c r="CU42" i="10"/>
  <c r="CS42" i="10"/>
  <c r="CQ42" i="10"/>
  <c r="CO42" i="10"/>
  <c r="X42" i="10"/>
  <c r="U42" i="10"/>
  <c r="H30" i="10" s="1"/>
  <c r="DX41" i="10"/>
  <c r="CU41" i="10"/>
  <c r="CS41" i="10"/>
  <c r="CQ41" i="10"/>
  <c r="CO41" i="10"/>
  <c r="X41" i="10"/>
  <c r="U41" i="10"/>
  <c r="H29" i="10" s="1"/>
  <c r="DX40" i="10"/>
  <c r="CU40" i="10"/>
  <c r="CS40" i="10"/>
  <c r="CQ40" i="10"/>
  <c r="CO40" i="10"/>
  <c r="X40" i="10"/>
  <c r="U40" i="10"/>
  <c r="H28" i="10" s="1"/>
  <c r="DX38" i="10"/>
  <c r="CU38" i="10"/>
  <c r="CS38" i="10"/>
  <c r="CQ38" i="10"/>
  <c r="CO38" i="10"/>
  <c r="X38" i="10"/>
  <c r="U38" i="10"/>
  <c r="H27" i="10" s="1"/>
  <c r="DX37" i="10"/>
  <c r="CU37" i="10"/>
  <c r="CS37" i="10"/>
  <c r="CQ37" i="10"/>
  <c r="CO37" i="10"/>
  <c r="BH37" i="10"/>
  <c r="X37" i="10"/>
  <c r="U37" i="10"/>
  <c r="H26" i="10" s="1"/>
  <c r="DX36" i="10"/>
  <c r="CU36" i="10"/>
  <c r="CS36" i="10"/>
  <c r="CQ36" i="10"/>
  <c r="CO36" i="10"/>
  <c r="BH36" i="10"/>
  <c r="X36" i="10"/>
  <c r="U36" i="10"/>
  <c r="H25" i="10" s="1"/>
  <c r="DX35" i="10"/>
  <c r="CU35" i="10"/>
  <c r="CS35" i="10"/>
  <c r="CQ35" i="10"/>
  <c r="CO35" i="10"/>
  <c r="BH35" i="10"/>
  <c r="AA35" i="10"/>
  <c r="X35" i="10"/>
  <c r="U35" i="10"/>
  <c r="H24" i="10" s="1"/>
  <c r="DX34" i="10"/>
  <c r="CU34" i="10"/>
  <c r="CS34" i="10"/>
  <c r="CQ34" i="10"/>
  <c r="CO34" i="10"/>
  <c r="BH34" i="10"/>
  <c r="X34" i="10"/>
  <c r="U34" i="10"/>
  <c r="H23" i="10" s="1"/>
  <c r="DX33" i="10"/>
  <c r="CU33" i="10"/>
  <c r="CS33" i="10"/>
  <c r="CQ33" i="10"/>
  <c r="CO33" i="10"/>
  <c r="BH33" i="10"/>
  <c r="Z33" i="10"/>
  <c r="AA33" i="10" s="1"/>
  <c r="X33" i="10"/>
  <c r="U33" i="10" s="1"/>
  <c r="H22" i="10" s="1"/>
  <c r="DX32" i="10"/>
  <c r="CU32" i="10"/>
  <c r="CS32" i="10"/>
  <c r="CQ32" i="10"/>
  <c r="CO32" i="10"/>
  <c r="BH32" i="10"/>
  <c r="Z32" i="10"/>
  <c r="AA32" i="10" s="1"/>
  <c r="X32" i="10"/>
  <c r="U32" i="10"/>
  <c r="H21" i="10" s="1"/>
  <c r="DX31" i="10"/>
  <c r="CU31" i="10"/>
  <c r="CS31" i="10"/>
  <c r="CQ31" i="10"/>
  <c r="CO31" i="10"/>
  <c r="BH31" i="10"/>
  <c r="X31" i="10"/>
  <c r="U31" i="10"/>
  <c r="H20" i="10" s="1"/>
  <c r="DX30" i="10"/>
  <c r="CU30" i="10"/>
  <c r="CS30" i="10"/>
  <c r="CQ30" i="10"/>
  <c r="CO30" i="10"/>
  <c r="BH30" i="10"/>
  <c r="X30" i="10"/>
  <c r="U30" i="10" s="1"/>
  <c r="H19" i="10" s="1"/>
  <c r="DX29" i="10"/>
  <c r="CU29" i="10"/>
  <c r="CS29" i="10"/>
  <c r="CQ29" i="10"/>
  <c r="CO29" i="10"/>
  <c r="BH29" i="10"/>
  <c r="AB29" i="10"/>
  <c r="X29" i="10"/>
  <c r="V29" i="10"/>
  <c r="DX28" i="10"/>
  <c r="CU28" i="10"/>
  <c r="CS28" i="10"/>
  <c r="CQ28" i="10"/>
  <c r="CO28" i="10"/>
  <c r="BH28" i="10"/>
  <c r="DX27" i="10"/>
  <c r="CU27" i="10"/>
  <c r="CS27" i="10"/>
  <c r="CQ27" i="10"/>
  <c r="CO27" i="10"/>
  <c r="BQ27" i="10"/>
  <c r="BH27" i="10"/>
  <c r="ED26" i="10"/>
  <c r="ED27" i="10" s="1"/>
  <c r="DX26" i="10"/>
  <c r="CU26" i="10"/>
  <c r="CS26" i="10"/>
  <c r="CQ26" i="10"/>
  <c r="CO26" i="10"/>
  <c r="BQ26" i="10"/>
  <c r="BH26" i="10"/>
  <c r="DX25" i="10"/>
  <c r="CU25" i="10"/>
  <c r="CS25" i="10"/>
  <c r="CQ25" i="10"/>
  <c r="CO25" i="10"/>
  <c r="BU25" i="10"/>
  <c r="BU26" i="10" s="1"/>
  <c r="BQ25" i="10"/>
  <c r="BH25" i="10"/>
  <c r="DX24" i="10"/>
  <c r="CU24" i="10"/>
  <c r="CS24" i="10"/>
  <c r="CQ24" i="10"/>
  <c r="CO24" i="10"/>
  <c r="BQ24" i="10"/>
  <c r="BH24" i="10"/>
  <c r="DX23" i="10"/>
  <c r="CU23" i="10"/>
  <c r="CS23" i="10"/>
  <c r="CQ23" i="10"/>
  <c r="CO23" i="10"/>
  <c r="BQ23" i="10"/>
  <c r="BH23" i="10"/>
  <c r="DX22" i="10"/>
  <c r="CU22" i="10"/>
  <c r="CS22" i="10"/>
  <c r="CQ22" i="10"/>
  <c r="CO22" i="10"/>
  <c r="BQ22" i="10"/>
  <c r="BH22" i="10"/>
  <c r="DX21" i="10"/>
  <c r="CU21" i="10"/>
  <c r="CS21" i="10"/>
  <c r="CQ21" i="10"/>
  <c r="CO21" i="10"/>
  <c r="BQ21" i="10"/>
  <c r="BH21" i="10"/>
  <c r="DX20" i="10"/>
  <c r="CU20" i="10"/>
  <c r="CS20" i="10"/>
  <c r="CQ20" i="10"/>
  <c r="CO20" i="10"/>
  <c r="BU20" i="10"/>
  <c r="BT20" i="10"/>
  <c r="BQ20" i="10"/>
  <c r="BH20" i="10"/>
  <c r="DX19" i="10"/>
  <c r="DL19" i="10"/>
  <c r="CU19" i="10"/>
  <c r="CS19" i="10"/>
  <c r="CQ19" i="10"/>
  <c r="CO19" i="10"/>
  <c r="BQ19" i="10"/>
  <c r="BH19" i="10"/>
  <c r="DX18" i="10"/>
  <c r="DL18" i="10"/>
  <c r="CU18" i="10"/>
  <c r="CS18" i="10"/>
  <c r="CQ18" i="10"/>
  <c r="CO18" i="10"/>
  <c r="BQ18" i="10"/>
  <c r="BH18" i="10"/>
  <c r="DX17" i="10"/>
  <c r="DL17" i="10"/>
  <c r="CU17" i="10"/>
  <c r="CS17" i="10"/>
  <c r="CQ17" i="10"/>
  <c r="CO17" i="10"/>
  <c r="BQ17" i="10"/>
  <c r="BH17" i="10"/>
  <c r="DX16" i="10"/>
  <c r="DL16" i="10"/>
  <c r="CU16" i="10"/>
  <c r="CS16" i="10"/>
  <c r="CQ16" i="10"/>
  <c r="CO16" i="10"/>
  <c r="BQ16" i="10"/>
  <c r="BH16" i="10"/>
  <c r="DL15" i="10"/>
  <c r="CU15" i="10"/>
  <c r="CS15" i="10"/>
  <c r="CQ15" i="10"/>
  <c r="CO15" i="10"/>
  <c r="BM15" i="10"/>
  <c r="BH15" i="10"/>
  <c r="AQ15" i="10"/>
  <c r="AR15" i="10" s="1"/>
  <c r="AS15" i="10" s="1"/>
  <c r="DL14" i="10"/>
  <c r="CZ14" i="10"/>
  <c r="DA14" i="10" s="1"/>
  <c r="DC14" i="10" s="1"/>
  <c r="DD14" i="10" s="1"/>
  <c r="CU14" i="10"/>
  <c r="CS14" i="10"/>
  <c r="CQ14" i="10"/>
  <c r="CO14" i="10"/>
  <c r="BH14" i="10"/>
  <c r="AQ14" i="10"/>
  <c r="AS14" i="10" s="1"/>
  <c r="AU14" i="10" s="1"/>
  <c r="DL13" i="10"/>
  <c r="CZ13" i="10"/>
  <c r="DA13" i="10" s="1"/>
  <c r="DC13" i="10" s="1"/>
  <c r="DD13" i="10" s="1"/>
  <c r="CU13" i="10"/>
  <c r="CS13" i="10"/>
  <c r="CQ13" i="10"/>
  <c r="CO13" i="10"/>
  <c r="BP13" i="10"/>
  <c r="Z56" i="10" s="1"/>
  <c r="BH13" i="10"/>
  <c r="AQ13" i="10"/>
  <c r="AS13" i="10" s="1"/>
  <c r="AU13" i="10" s="1"/>
  <c r="DL12" i="10"/>
  <c r="CU12" i="10"/>
  <c r="CS12" i="10"/>
  <c r="CQ12" i="10"/>
  <c r="CO12" i="10"/>
  <c r="BW12" i="10"/>
  <c r="BP12" i="10"/>
  <c r="Z55" i="10" s="1"/>
  <c r="BH12" i="10"/>
  <c r="DL11" i="10"/>
  <c r="CZ11" i="10"/>
  <c r="DA11" i="10" s="1"/>
  <c r="DC11" i="10" s="1"/>
  <c r="DD11" i="10" s="1"/>
  <c r="CU11" i="10"/>
  <c r="CS11" i="10"/>
  <c r="CQ11" i="10"/>
  <c r="CO11" i="10"/>
  <c r="BH11" i="10"/>
  <c r="AQ11" i="10"/>
  <c r="AR11" i="10" s="1"/>
  <c r="AS11" i="10" s="1"/>
  <c r="DL10" i="10"/>
  <c r="CZ10" i="10"/>
  <c r="DA10" i="10" s="1"/>
  <c r="DC10" i="10" s="1"/>
  <c r="DD10" i="10" s="1"/>
  <c r="CU10" i="10"/>
  <c r="CS10" i="10"/>
  <c r="CQ10" i="10"/>
  <c r="CO10" i="10"/>
  <c r="BH10" i="10"/>
  <c r="AQ10" i="10"/>
  <c r="AT10" i="10" s="1"/>
  <c r="DL9" i="10"/>
  <c r="CZ9" i="10"/>
  <c r="DA9" i="10" s="1"/>
  <c r="DC9" i="10" s="1"/>
  <c r="DD9" i="10" s="1"/>
  <c r="CU9" i="10"/>
  <c r="CS9" i="10"/>
  <c r="CQ9" i="10"/>
  <c r="CO9" i="10"/>
  <c r="BH9" i="10"/>
  <c r="AQ9" i="10"/>
  <c r="AR9" i="10" s="1"/>
  <c r="AS9" i="10" s="1"/>
  <c r="DL8" i="10"/>
  <c r="CZ8" i="10"/>
  <c r="DA8" i="10" s="1"/>
  <c r="DC8" i="10" s="1"/>
  <c r="DD8" i="10" s="1"/>
  <c r="CU8" i="10"/>
  <c r="CS8" i="10"/>
  <c r="CQ8" i="10"/>
  <c r="CO8" i="10"/>
  <c r="BH8" i="10"/>
  <c r="AQ8" i="10"/>
  <c r="AR8" i="10" s="1"/>
  <c r="AS8" i="10" s="1"/>
  <c r="DL7" i="10"/>
  <c r="DH7" i="10"/>
  <c r="DE7" i="10"/>
  <c r="BH7" i="10"/>
  <c r="DL6" i="10"/>
  <c r="BQ2" i="10"/>
  <c r="BM13" i="10" s="1"/>
  <c r="EG1" i="10"/>
  <c r="ED1" i="10"/>
  <c r="EE1" i="10" s="1"/>
  <c r="EF1" i="10" s="1"/>
  <c r="DP1" i="10"/>
  <c r="DO1" i="10" s="1"/>
  <c r="U29" i="10" l="1"/>
  <c r="H18" i="10" s="1"/>
  <c r="CP62" i="10" s="1"/>
  <c r="AB33" i="10"/>
  <c r="AB34" i="10" s="1"/>
  <c r="Z35" i="10"/>
  <c r="BQ8" i="10"/>
  <c r="AA55" i="10"/>
  <c r="BJ7" i="10"/>
  <c r="BQ7" i="10" s="1"/>
  <c r="CM62" i="10"/>
  <c r="BH51" i="10"/>
  <c r="BQ28" i="10"/>
  <c r="BH52" i="10"/>
  <c r="BQ29" i="10"/>
  <c r="CM59" i="10"/>
  <c r="BH53" i="10"/>
  <c r="BQ30" i="10"/>
  <c r="CM60" i="10"/>
  <c r="BH54" i="10"/>
  <c r="BQ31" i="10"/>
  <c r="DM19" i="10"/>
  <c r="G31" i="10" s="1"/>
  <c r="I31" i="10" s="1"/>
  <c r="CM61" i="10"/>
  <c r="DM16" i="10"/>
  <c r="G28" i="10" s="1"/>
  <c r="I28" i="10" s="1"/>
  <c r="DM17" i="10"/>
  <c r="G29" i="10" s="1"/>
  <c r="I29" i="10" s="1"/>
  <c r="DM14" i="10"/>
  <c r="G26" i="10" s="1"/>
  <c r="I26" i="10" s="1"/>
  <c r="AT9" i="10"/>
  <c r="AU9" i="10" s="1"/>
  <c r="DM11" i="10"/>
  <c r="DM15" i="10"/>
  <c r="G27" i="10" s="1"/>
  <c r="I27" i="10" s="1"/>
  <c r="DM8" i="10"/>
  <c r="G20" i="10" s="1"/>
  <c r="I20" i="10" s="1"/>
  <c r="DM9" i="10"/>
  <c r="G21" i="10" s="1"/>
  <c r="DM13" i="10"/>
  <c r="G25" i="10" s="1"/>
  <c r="I25" i="10" s="1"/>
  <c r="EH1" i="10"/>
  <c r="EI1" i="10" s="1"/>
  <c r="O10" i="10" s="1"/>
  <c r="DM18" i="10"/>
  <c r="G30" i="10" s="1"/>
  <c r="I30" i="10" s="1"/>
  <c r="DM7" i="10"/>
  <c r="G19" i="10" s="1"/>
  <c r="I19" i="10" s="1"/>
  <c r="DM10" i="10"/>
  <c r="G22" i="10" s="1"/>
  <c r="I22" i="10" s="1"/>
  <c r="AT15" i="10"/>
  <c r="AU15" i="10" s="1"/>
  <c r="AT8" i="10"/>
  <c r="AU8" i="10" s="1"/>
  <c r="DM6" i="10"/>
  <c r="G18" i="10" s="1"/>
  <c r="DM12" i="10"/>
  <c r="G24" i="10" s="1"/>
  <c r="I24" i="10" s="1"/>
  <c r="AV14" i="10"/>
  <c r="AV13" i="10"/>
  <c r="D40" i="10"/>
  <c r="AR10" i="10"/>
  <c r="AT11" i="10"/>
  <c r="AU11" i="10" s="1"/>
  <c r="BQ10" i="10" l="1"/>
  <c r="AV9" i="10"/>
  <c r="BQ11" i="10"/>
  <c r="BO9" i="10"/>
  <c r="I18" i="10"/>
  <c r="CQ62" i="10" s="1"/>
  <c r="G23" i="10"/>
  <c r="I23" i="10" s="1"/>
  <c r="D42" i="10"/>
  <c r="Q46" i="10" s="1"/>
  <c r="I21" i="10"/>
  <c r="CZ20" i="10"/>
  <c r="AV16" i="10"/>
  <c r="AV17" i="10"/>
  <c r="AV18" i="10" s="1"/>
  <c r="AV19" i="10" s="1"/>
  <c r="CZ19" i="10"/>
  <c r="DA19" i="10" s="1"/>
  <c r="AV15" i="10"/>
  <c r="AV8" i="10"/>
  <c r="CO62" i="10"/>
  <c r="AV11" i="10"/>
  <c r="AS10" i="10"/>
  <c r="AU10" i="10" s="1"/>
  <c r="V5" i="32"/>
  <c r="S4" i="32"/>
  <c r="T4" i="32" s="1"/>
  <c r="S3" i="32"/>
  <c r="S2" i="32"/>
  <c r="F3" i="32" s="1"/>
  <c r="P4" i="32"/>
  <c r="P3" i="32"/>
  <c r="P2" i="32"/>
  <c r="S19" i="32"/>
  <c r="S18" i="32"/>
  <c r="N14" i="32"/>
  <c r="N13" i="32"/>
  <c r="N12" i="32"/>
  <c r="N9" i="32"/>
  <c r="N8" i="32"/>
  <c r="Q47" i="10" l="1"/>
  <c r="DT2" i="10"/>
  <c r="EB6" i="10" s="1"/>
  <c r="K5" i="32" s="1"/>
  <c r="M6" i="10"/>
  <c r="W48" i="10" s="1"/>
  <c r="U1" i="10"/>
  <c r="BC7" i="10"/>
  <c r="BC9" i="10"/>
  <c r="BW6" i="10" s="1"/>
  <c r="BW14" i="10" s="1"/>
  <c r="Q45" i="10"/>
  <c r="N32" i="10"/>
  <c r="CA30" i="10" s="1"/>
  <c r="CD30" i="10" s="1"/>
  <c r="N33" i="10"/>
  <c r="CA31" i="10" s="1"/>
  <c r="CD31" i="10" s="1"/>
  <c r="BC8" i="10"/>
  <c r="CZ12" i="10"/>
  <c r="DA12" i="10" s="1"/>
  <c r="DC12" i="10" s="1"/>
  <c r="DD12" i="10" s="1"/>
  <c r="AQ12" i="10"/>
  <c r="AS12" i="10" s="1"/>
  <c r="AU12" i="10" s="1"/>
  <c r="AV10" i="10"/>
  <c r="AW10" i="10" s="1"/>
  <c r="Q13" i="32"/>
  <c r="R13" i="32" s="1"/>
  <c r="Q9" i="32"/>
  <c r="R9" i="32" s="1"/>
  <c r="S5" i="32"/>
  <c r="F4" i="32" s="1"/>
  <c r="P5" i="32"/>
  <c r="F2" i="32" s="1"/>
  <c r="BN7" i="10" l="1"/>
  <c r="BN5" i="10"/>
  <c r="Q48" i="10"/>
  <c r="W50" i="10"/>
  <c r="BN6" i="10"/>
  <c r="N8" i="10"/>
  <c r="K34" i="10" s="1"/>
  <c r="K39" i="10" s="1"/>
  <c r="I52" i="10"/>
  <c r="V1" i="10"/>
  <c r="BN8" i="10"/>
  <c r="W47" i="10"/>
  <c r="M10" i="10"/>
  <c r="T27" i="10" s="1"/>
  <c r="W49" i="10"/>
  <c r="K72" i="10"/>
  <c r="BN9" i="10"/>
  <c r="K71" i="10"/>
  <c r="W46" i="10"/>
  <c r="T20" i="10"/>
  <c r="BC11" i="10"/>
  <c r="S20" i="32"/>
  <c r="S21" i="32" s="1"/>
  <c r="DA17" i="10"/>
  <c r="AV12" i="10"/>
  <c r="F5" i="32"/>
  <c r="V2" i="32" s="1"/>
  <c r="V4" i="32" s="1"/>
  <c r="V6" i="32" s="1"/>
  <c r="BM11" i="10" l="1"/>
  <c r="BN11" i="10"/>
  <c r="BM12" i="10" s="1"/>
  <c r="M12" i="10" s="1"/>
  <c r="K19" i="10"/>
  <c r="K20" i="10"/>
  <c r="K28" i="10"/>
  <c r="K21" i="10"/>
  <c r="K29" i="10"/>
  <c r="K22" i="10"/>
  <c r="K30" i="10"/>
  <c r="K23" i="10"/>
  <c r="K31" i="10"/>
  <c r="K24" i="10"/>
  <c r="K18" i="10"/>
  <c r="K25" i="10"/>
  <c r="K26" i="10"/>
  <c r="K27" i="10"/>
  <c r="CG34" i="10"/>
  <c r="I33" i="10"/>
  <c r="V58" i="10" l="1"/>
  <c r="W58" i="10" s="1"/>
  <c r="K33" i="10"/>
  <c r="BC13" i="10"/>
  <c r="BC14" i="10" s="1"/>
  <c r="I32" i="10" s="1"/>
  <c r="D111" i="10" s="1"/>
  <c r="M49" i="10"/>
  <c r="BT12" i="10"/>
  <c r="T19" i="10" l="1"/>
  <c r="AB37" i="10" s="1"/>
  <c r="AB38" i="10" s="1"/>
  <c r="BT6" i="10"/>
  <c r="H71" i="10"/>
  <c r="K75" i="10"/>
  <c r="H69" i="10"/>
  <c r="I35" i="10"/>
  <c r="K32" i="10"/>
  <c r="N30" i="10"/>
  <c r="N31" i="10"/>
  <c r="CA29" i="10" s="1"/>
  <c r="CD29" i="10" s="1"/>
  <c r="V57" i="10"/>
  <c r="W57" i="10" s="1"/>
  <c r="W59" i="10" s="1"/>
  <c r="BT7" i="10"/>
  <c r="M46" i="10"/>
  <c r="M50" i="10" s="1"/>
  <c r="L60" i="10"/>
  <c r="O94" i="28"/>
  <c r="O93" i="28"/>
  <c r="O88" i="28"/>
  <c r="O87" i="28"/>
  <c r="O86" i="28"/>
  <c r="O85" i="28"/>
  <c r="O83" i="28"/>
  <c r="O81" i="28"/>
  <c r="O80" i="28"/>
  <c r="O63" i="28"/>
  <c r="O62" i="28"/>
  <c r="O61" i="28"/>
  <c r="O60" i="28"/>
  <c r="O55" i="28"/>
  <c r="O54" i="28"/>
  <c r="O53" i="28"/>
  <c r="O51" i="28"/>
  <c r="S41" i="28"/>
  <c r="S39" i="28"/>
  <c r="S37" i="28"/>
  <c r="S35" i="28"/>
  <c r="R35" i="28"/>
  <c r="O34" i="28"/>
  <c r="O33" i="28"/>
  <c r="O28" i="28"/>
  <c r="O26" i="28"/>
  <c r="O20" i="28"/>
  <c r="O19" i="28"/>
  <c r="O18" i="28"/>
  <c r="O17" i="28"/>
  <c r="W5" i="28"/>
  <c r="R3" i="5"/>
  <c r="R4" i="5"/>
  <c r="R5" i="5"/>
  <c r="R6" i="5"/>
  <c r="R7" i="5"/>
  <c r="R8" i="5"/>
  <c r="R9" i="5"/>
  <c r="R10" i="5"/>
  <c r="R11" i="5"/>
  <c r="R12" i="5"/>
  <c r="R13" i="5"/>
  <c r="R14" i="5"/>
  <c r="R15" i="5"/>
  <c r="R16" i="5"/>
  <c r="R17" i="5"/>
  <c r="R18" i="5"/>
  <c r="R19" i="5"/>
  <c r="R20" i="5"/>
  <c r="R21" i="5"/>
  <c r="R22" i="5"/>
  <c r="R23" i="5"/>
  <c r="R24" i="5"/>
  <c r="R25" i="5"/>
  <c r="R26" i="5"/>
  <c r="R27" i="5"/>
  <c r="R28" i="5"/>
  <c r="R29" i="5"/>
  <c r="R30" i="5"/>
  <c r="R31" i="5"/>
  <c r="R32" i="5"/>
  <c r="R33" i="5"/>
  <c r="R34" i="5"/>
  <c r="R35" i="5"/>
  <c r="R36" i="5"/>
  <c r="R37" i="5"/>
  <c r="R38" i="5"/>
  <c r="R39" i="5"/>
  <c r="R40" i="5"/>
  <c r="R41" i="5"/>
  <c r="R42" i="5"/>
  <c r="R43" i="5"/>
  <c r="R44" i="5"/>
  <c r="R45" i="5"/>
  <c r="R46" i="5"/>
  <c r="R47" i="5"/>
  <c r="R48" i="5"/>
  <c r="R2" i="5"/>
  <c r="P27" i="13"/>
  <c r="M27" i="13" s="1"/>
  <c r="P28" i="13"/>
  <c r="M28" i="13" s="1"/>
  <c r="P29" i="13"/>
  <c r="M29" i="13" s="1"/>
  <c r="P30" i="13"/>
  <c r="M30" i="13" s="1"/>
  <c r="P31" i="13"/>
  <c r="M31" i="13" s="1"/>
  <c r="P32" i="13"/>
  <c r="M32" i="13" s="1"/>
  <c r="P33" i="13"/>
  <c r="M33" i="13" s="1"/>
  <c r="P34" i="13"/>
  <c r="M34" i="13" s="1"/>
  <c r="P35" i="13"/>
  <c r="M35" i="13" s="1"/>
  <c r="P20" i="13"/>
  <c r="M20" i="13" s="1"/>
  <c r="P21" i="13"/>
  <c r="M21" i="13" s="1"/>
  <c r="P22" i="13"/>
  <c r="M22" i="13" s="1"/>
  <c r="P23" i="13"/>
  <c r="M23" i="13" s="1"/>
  <c r="P24" i="13"/>
  <c r="M24" i="13" s="1"/>
  <c r="P25" i="13"/>
  <c r="M25" i="13" s="1"/>
  <c r="P26" i="13"/>
  <c r="M26" i="13" s="1"/>
  <c r="P12" i="13"/>
  <c r="M12" i="13" s="1"/>
  <c r="P13" i="13"/>
  <c r="M13" i="13" s="1"/>
  <c r="P14" i="13"/>
  <c r="M14" i="13" s="1"/>
  <c r="P15" i="13"/>
  <c r="M15" i="13" s="1"/>
  <c r="P16" i="13"/>
  <c r="M16" i="13" s="1"/>
  <c r="P17" i="13"/>
  <c r="M17" i="13" s="1"/>
  <c r="P18" i="13"/>
  <c r="M18" i="13" s="1"/>
  <c r="P19" i="13"/>
  <c r="M19" i="13" s="1"/>
  <c r="P2" i="13"/>
  <c r="M2" i="13" s="1"/>
  <c r="P3" i="13"/>
  <c r="M3" i="13" s="1"/>
  <c r="P4" i="13"/>
  <c r="M4" i="13" s="1"/>
  <c r="P5" i="13"/>
  <c r="M5" i="13" s="1"/>
  <c r="P6" i="13"/>
  <c r="M6" i="13" s="1"/>
  <c r="P7" i="13"/>
  <c r="M7" i="13" s="1"/>
  <c r="P8" i="13"/>
  <c r="M8" i="13" s="1"/>
  <c r="P9" i="13"/>
  <c r="M9" i="13" s="1"/>
  <c r="P10" i="13"/>
  <c r="M10" i="13" s="1"/>
  <c r="P11" i="13"/>
  <c r="M11" i="13" s="1"/>
  <c r="H98" i="1"/>
  <c r="H99" i="1"/>
  <c r="H100" i="1"/>
  <c r="H101" i="1"/>
  <c r="H102" i="1"/>
  <c r="H64" i="1"/>
  <c r="H105" i="1"/>
  <c r="H110" i="1"/>
  <c r="H108" i="1"/>
  <c r="H96" i="1"/>
  <c r="H11" i="1"/>
  <c r="H30" i="1"/>
  <c r="H69" i="1"/>
  <c r="H70" i="1"/>
  <c r="H71" i="1"/>
  <c r="H7" i="1"/>
  <c r="H38" i="1"/>
  <c r="H46" i="1"/>
  <c r="H76" i="1"/>
  <c r="H45" i="1"/>
  <c r="H65" i="1"/>
  <c r="H94" i="1"/>
  <c r="H103" i="1"/>
  <c r="H95" i="1"/>
  <c r="H88" i="1"/>
  <c r="H83" i="1"/>
  <c r="H104" i="1"/>
  <c r="H109" i="1"/>
  <c r="H48" i="1"/>
  <c r="H57" i="1"/>
  <c r="H62" i="1"/>
  <c r="H53" i="1"/>
  <c r="H68" i="1"/>
  <c r="H85" i="1"/>
  <c r="H73" i="1"/>
  <c r="H81" i="1"/>
  <c r="H86" i="1"/>
  <c r="H49" i="1"/>
  <c r="H63" i="1"/>
  <c r="H72" i="1"/>
  <c r="H61" i="1"/>
  <c r="H75" i="1"/>
  <c r="H91" i="1"/>
  <c r="H37" i="1"/>
  <c r="H41" i="1"/>
  <c r="H44" i="1"/>
  <c r="H43" i="1"/>
  <c r="H59" i="1"/>
  <c r="H74" i="1"/>
  <c r="H107" i="1"/>
  <c r="H9" i="1"/>
  <c r="H12" i="1"/>
  <c r="H13" i="1"/>
  <c r="H26" i="1"/>
  <c r="H31" i="1"/>
  <c r="H66" i="1"/>
  <c r="H5" i="1"/>
  <c r="H2" i="1"/>
  <c r="H28" i="1"/>
  <c r="H39" i="1"/>
  <c r="H40" i="1"/>
  <c r="H10" i="1"/>
  <c r="H3" i="1"/>
  <c r="H36" i="1"/>
  <c r="H47" i="1"/>
  <c r="H58" i="1"/>
  <c r="H8" i="1"/>
  <c r="H4" i="1"/>
  <c r="H24" i="1"/>
  <c r="H27" i="1"/>
  <c r="H29" i="1"/>
  <c r="H16" i="1"/>
  <c r="H20" i="1"/>
  <c r="H67" i="1"/>
  <c r="H32" i="1"/>
  <c r="H17" i="1"/>
  <c r="H21" i="1"/>
  <c r="H33" i="1"/>
  <c r="H18" i="1"/>
  <c r="H22" i="1"/>
  <c r="H34" i="1"/>
  <c r="H19" i="1"/>
  <c r="H23" i="1"/>
  <c r="H35" i="1"/>
  <c r="H6" i="1"/>
  <c r="H14" i="1"/>
  <c r="H15" i="1"/>
  <c r="H77" i="1"/>
  <c r="H84" i="1"/>
  <c r="H78" i="1"/>
  <c r="H79" i="1"/>
  <c r="H80" i="1"/>
  <c r="H50" i="1"/>
  <c r="H54" i="1"/>
  <c r="H82" i="1"/>
  <c r="H42" i="1"/>
  <c r="H51" i="1"/>
  <c r="H52" i="1"/>
  <c r="H60" i="1"/>
  <c r="H90" i="1"/>
  <c r="H92" i="1"/>
  <c r="H89" i="1"/>
  <c r="H55" i="1"/>
  <c r="H93" i="1"/>
  <c r="H106" i="1"/>
  <c r="H87" i="1"/>
  <c r="H97" i="1"/>
  <c r="H56" i="1"/>
  <c r="H25" i="1"/>
  <c r="P47" i="12"/>
  <c r="P46" i="12"/>
  <c r="P45" i="12"/>
  <c r="P44" i="12"/>
  <c r="P43" i="12"/>
  <c r="P42" i="12"/>
  <c r="P41" i="12"/>
  <c r="P40" i="12"/>
  <c r="P39" i="12"/>
  <c r="P38" i="12"/>
  <c r="P37" i="12"/>
  <c r="P36" i="12"/>
  <c r="P35" i="12"/>
  <c r="P34" i="12"/>
  <c r="P33" i="12"/>
  <c r="P32" i="12"/>
  <c r="P31" i="12"/>
  <c r="P30" i="12"/>
  <c r="P29" i="12"/>
  <c r="P28" i="12"/>
  <c r="P27" i="12"/>
  <c r="P26" i="12"/>
  <c r="P25" i="12"/>
  <c r="P24" i="12"/>
  <c r="P23" i="12"/>
  <c r="P22" i="12"/>
  <c r="P21" i="12"/>
  <c r="P20" i="12"/>
  <c r="P19" i="12"/>
  <c r="P18" i="12"/>
  <c r="P17" i="12"/>
  <c r="P16" i="12"/>
  <c r="P15" i="12"/>
  <c r="P14" i="12"/>
  <c r="P13" i="12"/>
  <c r="P12" i="12"/>
  <c r="P11" i="12"/>
  <c r="P10" i="12"/>
  <c r="P9" i="12"/>
  <c r="P8" i="12"/>
  <c r="P7" i="12"/>
  <c r="P6" i="12"/>
  <c r="P5" i="12"/>
  <c r="P4" i="12"/>
  <c r="P3" i="12"/>
  <c r="P2" i="12"/>
  <c r="P1" i="12"/>
  <c r="P37" i="11"/>
  <c r="P36" i="11"/>
  <c r="P35" i="11"/>
  <c r="P34" i="11"/>
  <c r="P33" i="11"/>
  <c r="P32" i="11"/>
  <c r="P31" i="11"/>
  <c r="P30" i="11"/>
  <c r="P29" i="11"/>
  <c r="P28" i="11"/>
  <c r="P27" i="11"/>
  <c r="P26" i="11"/>
  <c r="P25" i="11"/>
  <c r="P24" i="11"/>
  <c r="P23" i="11"/>
  <c r="P22" i="11"/>
  <c r="P21" i="11"/>
  <c r="P20" i="11"/>
  <c r="P19" i="11"/>
  <c r="P18" i="11"/>
  <c r="P17" i="11"/>
  <c r="P16" i="11"/>
  <c r="P15" i="11"/>
  <c r="P14" i="11"/>
  <c r="P13" i="11"/>
  <c r="P12" i="11"/>
  <c r="P11" i="11"/>
  <c r="P10" i="11"/>
  <c r="P9" i="11"/>
  <c r="P8" i="11"/>
  <c r="P7" i="11"/>
  <c r="P6" i="11"/>
  <c r="P5" i="11"/>
  <c r="P4" i="11"/>
  <c r="P3" i="11"/>
  <c r="P2" i="11"/>
  <c r="P1" i="11"/>
  <c r="T20" i="5"/>
  <c r="T21" i="5"/>
  <c r="T22" i="5"/>
  <c r="T23" i="5"/>
  <c r="T24" i="5"/>
  <c r="T25" i="5"/>
  <c r="T26" i="5"/>
  <c r="T33" i="5"/>
  <c r="T34" i="5"/>
  <c r="T35" i="5"/>
  <c r="T36" i="5"/>
  <c r="T37" i="5"/>
  <c r="T38" i="5"/>
  <c r="T39" i="5"/>
  <c r="T40" i="5"/>
  <c r="T41" i="5"/>
  <c r="T42" i="5"/>
  <c r="T43" i="5"/>
  <c r="T44" i="5"/>
  <c r="T45" i="5"/>
  <c r="T46" i="5"/>
  <c r="T47" i="5"/>
  <c r="T48" i="5"/>
  <c r="T19" i="5"/>
  <c r="U20" i="5"/>
  <c r="U21" i="5"/>
  <c r="U22" i="5"/>
  <c r="U23" i="5"/>
  <c r="U24" i="5"/>
  <c r="U25" i="5"/>
  <c r="U26" i="5"/>
  <c r="U35" i="5"/>
  <c r="U36" i="5"/>
  <c r="U37" i="5"/>
  <c r="U38" i="5"/>
  <c r="U39" i="5"/>
  <c r="U40" i="5"/>
  <c r="U41" i="5"/>
  <c r="U42" i="5"/>
  <c r="U43" i="5"/>
  <c r="U46" i="5"/>
  <c r="U47" i="5"/>
  <c r="U48" i="5"/>
  <c r="U19" i="5"/>
  <c r="U4" i="5"/>
  <c r="U5" i="5"/>
  <c r="U6" i="5"/>
  <c r="U7" i="5"/>
  <c r="U8" i="5"/>
  <c r="U9" i="5"/>
  <c r="U10" i="5"/>
  <c r="U11" i="5"/>
  <c r="Y3" i="5"/>
  <c r="AB3" i="5" s="1"/>
  <c r="Y4" i="5"/>
  <c r="AB4" i="5" s="1"/>
  <c r="Y5" i="5"/>
  <c r="AB5" i="5" s="1"/>
  <c r="Y6" i="5"/>
  <c r="AB6" i="5" s="1"/>
  <c r="Y7" i="5"/>
  <c r="AB7" i="5" s="1"/>
  <c r="Y8" i="5"/>
  <c r="AB8" i="5" s="1"/>
  <c r="Y9" i="5"/>
  <c r="AB9" i="5" s="1"/>
  <c r="Y10" i="5"/>
  <c r="AB10" i="5" s="1"/>
  <c r="Y11" i="5"/>
  <c r="AB11" i="5" s="1"/>
  <c r="Y19" i="5"/>
  <c r="AB19" i="5" s="1"/>
  <c r="Y20" i="5"/>
  <c r="AB20" i="5" s="1"/>
  <c r="Y21" i="5"/>
  <c r="AB21" i="5" s="1"/>
  <c r="Y22" i="5"/>
  <c r="AB22" i="5" s="1"/>
  <c r="Y23" i="5"/>
  <c r="AB23" i="5" s="1"/>
  <c r="Y24" i="5"/>
  <c r="AB24" i="5" s="1"/>
  <c r="Y25" i="5"/>
  <c r="AB25" i="5" s="1"/>
  <c r="Y26" i="5"/>
  <c r="AB26" i="5" s="1"/>
  <c r="Y27" i="5"/>
  <c r="AB27" i="5" s="1"/>
  <c r="Y28" i="5"/>
  <c r="AB28" i="5" s="1"/>
  <c r="Y29" i="5"/>
  <c r="AB29" i="5" s="1"/>
  <c r="Y30" i="5"/>
  <c r="AB30" i="5" s="1"/>
  <c r="Y31" i="5"/>
  <c r="AB31" i="5" s="1"/>
  <c r="Y32" i="5"/>
  <c r="AB32" i="5" s="1"/>
  <c r="Y33" i="5"/>
  <c r="AB33" i="5" s="1"/>
  <c r="Y34" i="5"/>
  <c r="AB34" i="5" s="1"/>
  <c r="Y35" i="5"/>
  <c r="AB35" i="5" s="1"/>
  <c r="Y36" i="5"/>
  <c r="AB36" i="5" s="1"/>
  <c r="Y37" i="5"/>
  <c r="AB37" i="5" s="1"/>
  <c r="Y38" i="5"/>
  <c r="AB38" i="5" s="1"/>
  <c r="Y39" i="5"/>
  <c r="AB39" i="5" s="1"/>
  <c r="Y40" i="5"/>
  <c r="AB40" i="5" s="1"/>
  <c r="Y41" i="5"/>
  <c r="AB41" i="5" s="1"/>
  <c r="Y42" i="5"/>
  <c r="AB42" i="5" s="1"/>
  <c r="Y43" i="5"/>
  <c r="AB43" i="5" s="1"/>
  <c r="Y44" i="5"/>
  <c r="AB44" i="5" s="1"/>
  <c r="Y45" i="5"/>
  <c r="AB45" i="5" s="1"/>
  <c r="Y46" i="5"/>
  <c r="AB46" i="5" s="1"/>
  <c r="Y47" i="5"/>
  <c r="AB47" i="5" s="1"/>
  <c r="Y48" i="5"/>
  <c r="AB48" i="5" s="1"/>
  <c r="X2" i="5"/>
  <c r="Y2" i="5"/>
  <c r="AB2" i="5" s="1"/>
  <c r="X3" i="5"/>
  <c r="X4" i="5"/>
  <c r="X5" i="5"/>
  <c r="X6" i="5"/>
  <c r="X7" i="5"/>
  <c r="X8" i="5"/>
  <c r="X9" i="5"/>
  <c r="X10" i="5"/>
  <c r="X11" i="5"/>
  <c r="W2" i="5"/>
  <c r="AA2" i="5" s="1"/>
  <c r="W3" i="5"/>
  <c r="AA3" i="5" s="1"/>
  <c r="W4" i="5"/>
  <c r="AA4" i="5" s="1"/>
  <c r="W5" i="5"/>
  <c r="AA5" i="5" s="1"/>
  <c r="W6" i="5"/>
  <c r="AA6" i="5" s="1"/>
  <c r="W7" i="5"/>
  <c r="AA7" i="5" s="1"/>
  <c r="W8" i="5"/>
  <c r="AA8" i="5" s="1"/>
  <c r="W9" i="5"/>
  <c r="AA9" i="5" s="1"/>
  <c r="W10" i="5"/>
  <c r="AA10" i="5" s="1"/>
  <c r="W11" i="5"/>
  <c r="AA11" i="5" s="1"/>
  <c r="W19" i="5"/>
  <c r="AA19" i="5" s="1"/>
  <c r="W20" i="5"/>
  <c r="AA20" i="5" s="1"/>
  <c r="W21" i="5"/>
  <c r="AA21" i="5" s="1"/>
  <c r="W22" i="5"/>
  <c r="AA22" i="5" s="1"/>
  <c r="W23" i="5"/>
  <c r="AA23" i="5" s="1"/>
  <c r="W24" i="5"/>
  <c r="AA24" i="5" s="1"/>
  <c r="W25" i="5"/>
  <c r="AA25" i="5" s="1"/>
  <c r="W26" i="5"/>
  <c r="AA26" i="5" s="1"/>
  <c r="W27" i="5"/>
  <c r="AA27" i="5" s="1"/>
  <c r="W28" i="5"/>
  <c r="AA28" i="5" s="1"/>
  <c r="W29" i="5"/>
  <c r="AA29" i="5" s="1"/>
  <c r="W30" i="5"/>
  <c r="AA30" i="5" s="1"/>
  <c r="W31" i="5"/>
  <c r="AA31" i="5" s="1"/>
  <c r="W32" i="5"/>
  <c r="AA32" i="5" s="1"/>
  <c r="W33" i="5"/>
  <c r="AA33" i="5" s="1"/>
  <c r="W34" i="5"/>
  <c r="AA34" i="5" s="1"/>
  <c r="W35" i="5"/>
  <c r="AA35" i="5" s="1"/>
  <c r="W36" i="5"/>
  <c r="AA36" i="5" s="1"/>
  <c r="W37" i="5"/>
  <c r="AA37" i="5" s="1"/>
  <c r="W38" i="5"/>
  <c r="AA38" i="5" s="1"/>
  <c r="W39" i="5"/>
  <c r="AA39" i="5" s="1"/>
  <c r="W40" i="5"/>
  <c r="AA40" i="5" s="1"/>
  <c r="W41" i="5"/>
  <c r="AA41" i="5" s="1"/>
  <c r="W42" i="5"/>
  <c r="AA42" i="5" s="1"/>
  <c r="W43" i="5"/>
  <c r="AA43" i="5" s="1"/>
  <c r="W44" i="5"/>
  <c r="AA44" i="5" s="1"/>
  <c r="W45" i="5"/>
  <c r="AA45" i="5" s="1"/>
  <c r="W46" i="5"/>
  <c r="AA46" i="5" s="1"/>
  <c r="W47" i="5"/>
  <c r="AA47" i="5" s="1"/>
  <c r="W48" i="5"/>
  <c r="AA48" i="5" s="1"/>
  <c r="O15" i="7"/>
  <c r="O16" i="7"/>
  <c r="O17" i="7"/>
  <c r="O18" i="7"/>
  <c r="O19" i="7"/>
  <c r="O20" i="7"/>
  <c r="O21" i="7"/>
  <c r="X27" i="5" s="1"/>
  <c r="O22" i="7"/>
  <c r="X28" i="5" s="1"/>
  <c r="O23" i="7"/>
  <c r="X29" i="5" s="1"/>
  <c r="O24" i="7"/>
  <c r="X30" i="5" s="1"/>
  <c r="O25" i="7"/>
  <c r="X31" i="5" s="1"/>
  <c r="O26" i="7"/>
  <c r="X32" i="5" s="1"/>
  <c r="O27" i="7"/>
  <c r="X19" i="5" s="1"/>
  <c r="O28" i="7"/>
  <c r="X20" i="5" s="1"/>
  <c r="O29" i="7"/>
  <c r="X21" i="5" s="1"/>
  <c r="O30" i="7"/>
  <c r="X22" i="5" s="1"/>
  <c r="O31" i="7"/>
  <c r="X23" i="5" s="1"/>
  <c r="O32" i="7"/>
  <c r="X24" i="5" s="1"/>
  <c r="O33" i="7"/>
  <c r="X25" i="5" s="1"/>
  <c r="O34" i="7"/>
  <c r="X26" i="5" s="1"/>
  <c r="O35" i="7"/>
  <c r="X33" i="5" s="1"/>
  <c r="O36" i="7"/>
  <c r="X34" i="5" s="1"/>
  <c r="O37" i="7"/>
  <c r="X35" i="5" s="1"/>
  <c r="O38" i="7"/>
  <c r="X36" i="5" s="1"/>
  <c r="O39" i="7"/>
  <c r="X37" i="5" s="1"/>
  <c r="O40" i="7"/>
  <c r="X38" i="5" s="1"/>
  <c r="O41" i="7"/>
  <c r="X39" i="5" s="1"/>
  <c r="O42" i="7"/>
  <c r="X44" i="5" s="1"/>
  <c r="O43" i="7"/>
  <c r="X45" i="5" s="1"/>
  <c r="O44" i="7"/>
  <c r="X46" i="5" s="1"/>
  <c r="O45" i="7"/>
  <c r="X47" i="5" s="1"/>
  <c r="O46" i="7"/>
  <c r="X48" i="5" s="1"/>
  <c r="O47" i="7"/>
  <c r="X40" i="5" s="1"/>
  <c r="O48" i="7"/>
  <c r="X41" i="5" s="1"/>
  <c r="O49" i="7"/>
  <c r="X42" i="5" s="1"/>
  <c r="O50" i="7"/>
  <c r="X43" i="5" s="1"/>
  <c r="O14" i="7"/>
  <c r="M3" i="5"/>
  <c r="M4" i="5"/>
  <c r="M5" i="5"/>
  <c r="M6" i="5"/>
  <c r="M7" i="5"/>
  <c r="M8" i="5"/>
  <c r="M9" i="5"/>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V2" i="5"/>
  <c r="V3" i="5"/>
  <c r="V4" i="5"/>
  <c r="V5" i="5"/>
  <c r="V6" i="5"/>
  <c r="V7" i="5"/>
  <c r="V8" i="5"/>
  <c r="V9" i="5"/>
  <c r="V10" i="5"/>
  <c r="V11" i="5"/>
  <c r="V19" i="5"/>
  <c r="V20" i="5"/>
  <c r="V21" i="5"/>
  <c r="V22" i="5"/>
  <c r="V23" i="5"/>
  <c r="V24" i="5"/>
  <c r="V25" i="5"/>
  <c r="V26" i="5"/>
  <c r="V27" i="5"/>
  <c r="V28" i="5"/>
  <c r="V29" i="5"/>
  <c r="V30" i="5"/>
  <c r="V31" i="5"/>
  <c r="V32" i="5"/>
  <c r="V33" i="5"/>
  <c r="V34" i="5"/>
  <c r="V35" i="5"/>
  <c r="V36" i="5"/>
  <c r="V37" i="5"/>
  <c r="V38" i="5"/>
  <c r="V39" i="5"/>
  <c r="V40" i="5"/>
  <c r="V41" i="5"/>
  <c r="V42" i="5"/>
  <c r="V43" i="5"/>
  <c r="V44" i="5"/>
  <c r="V45" i="5"/>
  <c r="V46" i="5"/>
  <c r="V47" i="5"/>
  <c r="V48" i="5"/>
  <c r="M2" i="5"/>
  <c r="L40" i="4"/>
  <c r="K40" i="4"/>
  <c r="L46" i="4"/>
  <c r="K46" i="4"/>
  <c r="L50" i="4"/>
  <c r="K50" i="4"/>
  <c r="K221" i="4"/>
  <c r="K219" i="4"/>
  <c r="L35" i="4"/>
  <c r="K35" i="4"/>
  <c r="L34" i="4"/>
  <c r="K34" i="4"/>
  <c r="L33" i="4"/>
  <c r="K33" i="4"/>
  <c r="L51" i="4"/>
  <c r="K51" i="4"/>
  <c r="L18" i="4"/>
  <c r="K18" i="4"/>
  <c r="L10" i="4"/>
  <c r="K10" i="4"/>
  <c r="L23" i="4"/>
  <c r="K23" i="4"/>
  <c r="L31" i="4"/>
  <c r="K31" i="4"/>
  <c r="L32" i="4"/>
  <c r="K32" i="4"/>
  <c r="K190" i="4"/>
  <c r="K188" i="4"/>
  <c r="L48" i="4"/>
  <c r="K48" i="4"/>
  <c r="L39" i="4"/>
  <c r="K39" i="4"/>
  <c r="L47" i="4"/>
  <c r="K47" i="4"/>
  <c r="L49" i="4"/>
  <c r="K49" i="4"/>
  <c r="L52" i="4"/>
  <c r="K52" i="4"/>
  <c r="L53" i="4"/>
  <c r="K53" i="4"/>
  <c r="K162" i="4"/>
  <c r="K160" i="4"/>
  <c r="L20" i="4"/>
  <c r="L3" i="4"/>
  <c r="L21" i="4"/>
  <c r="L22" i="4"/>
  <c r="L38" i="4"/>
  <c r="L37" i="4"/>
  <c r="L41" i="4"/>
  <c r="L42" i="4"/>
  <c r="L15" i="4"/>
  <c r="K15" i="4"/>
  <c r="L25" i="4"/>
  <c r="K25" i="4"/>
  <c r="L36" i="4"/>
  <c r="K36" i="4"/>
  <c r="K139" i="4"/>
  <c r="K137" i="4"/>
  <c r="L16" i="4"/>
  <c r="K16" i="4"/>
  <c r="L11" i="4"/>
  <c r="K11" i="4"/>
  <c r="L17" i="4"/>
  <c r="K17" i="4"/>
  <c r="L43" i="4"/>
  <c r="K43" i="4"/>
  <c r="L5" i="4"/>
  <c r="K5" i="4"/>
  <c r="L4" i="4"/>
  <c r="K4" i="4"/>
  <c r="L6" i="4"/>
  <c r="K6" i="4"/>
  <c r="L12" i="4"/>
  <c r="K12" i="4"/>
  <c r="L14" i="4"/>
  <c r="K14" i="4"/>
  <c r="K108" i="4"/>
  <c r="K106" i="4"/>
  <c r="L30" i="4"/>
  <c r="K30" i="4"/>
  <c r="L13" i="4"/>
  <c r="K13" i="4"/>
  <c r="L26" i="4"/>
  <c r="K26" i="4"/>
  <c r="L29" i="4"/>
  <c r="K29" i="4"/>
  <c r="L44" i="4"/>
  <c r="K44" i="4"/>
  <c r="L45" i="4"/>
  <c r="K45" i="4"/>
  <c r="K80" i="4"/>
  <c r="K78" i="4"/>
  <c r="K76" i="4"/>
  <c r="K74" i="4"/>
  <c r="K72" i="4"/>
  <c r="K70" i="4"/>
  <c r="K68" i="4"/>
  <c r="K66" i="4"/>
  <c r="K64" i="4"/>
  <c r="N8" i="4"/>
  <c r="L8" i="4"/>
  <c r="N2" i="4"/>
  <c r="L2" i="4"/>
  <c r="N7" i="4"/>
  <c r="L7" i="4"/>
  <c r="N9" i="4"/>
  <c r="L9" i="4"/>
  <c r="N19" i="4"/>
  <c r="L19" i="4"/>
  <c r="N24" i="4"/>
  <c r="L24" i="4"/>
  <c r="N27" i="4"/>
  <c r="L27" i="4"/>
  <c r="N28" i="4"/>
  <c r="L28" i="4"/>
  <c r="O28" i="4" s="1"/>
  <c r="M18" i="3"/>
  <c r="L18" i="3"/>
  <c r="M16" i="3"/>
  <c r="L16" i="3"/>
  <c r="M14" i="3"/>
  <c r="L14" i="3"/>
  <c r="M12" i="3"/>
  <c r="L12" i="3"/>
  <c r="M10" i="3"/>
  <c r="L10" i="3"/>
  <c r="M8" i="3"/>
  <c r="L8" i="3"/>
  <c r="M6" i="3"/>
  <c r="L6" i="3"/>
  <c r="M4" i="3"/>
  <c r="L4" i="3"/>
  <c r="N98" i="1"/>
  <c r="N99" i="1"/>
  <c r="N100" i="1"/>
  <c r="N101" i="1"/>
  <c r="N102" i="1"/>
  <c r="N64" i="1"/>
  <c r="N105" i="1"/>
  <c r="N110" i="1"/>
  <c r="N108" i="1"/>
  <c r="N96" i="1"/>
  <c r="N11" i="1"/>
  <c r="N30" i="1"/>
  <c r="N69" i="1"/>
  <c r="N70" i="1"/>
  <c r="N71" i="1"/>
  <c r="N7" i="1"/>
  <c r="N38" i="1"/>
  <c r="N46" i="1"/>
  <c r="N76" i="1"/>
  <c r="N45" i="1"/>
  <c r="N65" i="1"/>
  <c r="N94" i="1"/>
  <c r="N103" i="1"/>
  <c r="N95" i="1"/>
  <c r="N88" i="1"/>
  <c r="N83" i="1"/>
  <c r="N104" i="1"/>
  <c r="N109" i="1"/>
  <c r="N48" i="1"/>
  <c r="N57" i="1"/>
  <c r="N62" i="1"/>
  <c r="N53" i="1"/>
  <c r="N68" i="1"/>
  <c r="N85" i="1"/>
  <c r="N73" i="1"/>
  <c r="N81" i="1"/>
  <c r="N86" i="1"/>
  <c r="N49" i="1"/>
  <c r="N63" i="1"/>
  <c r="N72" i="1"/>
  <c r="N61" i="1"/>
  <c r="N75" i="1"/>
  <c r="N91" i="1"/>
  <c r="N37" i="1"/>
  <c r="N41" i="1"/>
  <c r="N44" i="1"/>
  <c r="N43" i="1"/>
  <c r="N59" i="1"/>
  <c r="N74" i="1"/>
  <c r="N107" i="1"/>
  <c r="N9" i="1"/>
  <c r="N12" i="1"/>
  <c r="N13" i="1"/>
  <c r="N26" i="1"/>
  <c r="N31" i="1"/>
  <c r="N66" i="1"/>
  <c r="N5" i="1"/>
  <c r="N2" i="1"/>
  <c r="N28" i="1"/>
  <c r="N39" i="1"/>
  <c r="N40" i="1"/>
  <c r="N10" i="1"/>
  <c r="N3" i="1"/>
  <c r="N36" i="1"/>
  <c r="N47" i="1"/>
  <c r="N58" i="1"/>
  <c r="N8" i="1"/>
  <c r="N4" i="1"/>
  <c r="N24" i="1"/>
  <c r="N27" i="1"/>
  <c r="N29" i="1"/>
  <c r="N16" i="1"/>
  <c r="N20" i="1"/>
  <c r="N67" i="1"/>
  <c r="N32" i="1"/>
  <c r="N17" i="1"/>
  <c r="N21" i="1"/>
  <c r="N33" i="1"/>
  <c r="N18" i="1"/>
  <c r="N22" i="1"/>
  <c r="N34" i="1"/>
  <c r="N19" i="1"/>
  <c r="N23" i="1"/>
  <c r="N35" i="1"/>
  <c r="N6" i="1"/>
  <c r="N14" i="1"/>
  <c r="N15" i="1"/>
  <c r="N77" i="1"/>
  <c r="N84" i="1"/>
  <c r="N78" i="1"/>
  <c r="N79" i="1"/>
  <c r="N80" i="1"/>
  <c r="N50" i="1"/>
  <c r="N54" i="1"/>
  <c r="N82" i="1"/>
  <c r="N42" i="1"/>
  <c r="N51" i="1"/>
  <c r="N52" i="1"/>
  <c r="N60" i="1"/>
  <c r="N90" i="1"/>
  <c r="N92" i="1"/>
  <c r="N89" i="1"/>
  <c r="N55" i="1"/>
  <c r="N93" i="1"/>
  <c r="N106" i="1"/>
  <c r="N87" i="1"/>
  <c r="N97" i="1"/>
  <c r="N56" i="1"/>
  <c r="N25" i="1"/>
  <c r="N44" i="10" l="1"/>
  <c r="S44" i="28"/>
  <c r="U35" i="28" s="1"/>
  <c r="Q18" i="28"/>
  <c r="BT11" i="10"/>
  <c r="BT13" i="10" s="1"/>
  <c r="BR14" i="10" s="1"/>
  <c r="G48" i="10"/>
  <c r="M15" i="10"/>
  <c r="M47" i="10"/>
  <c r="M51" i="10" s="1"/>
  <c r="M52" i="10" s="1"/>
  <c r="H47" i="10"/>
  <c r="L61" i="10"/>
  <c r="L62" i="10" s="1"/>
  <c r="G57" i="10"/>
  <c r="T1" i="10"/>
  <c r="P65" i="10"/>
  <c r="N63" i="10" s="1"/>
  <c r="M44" i="10"/>
  <c r="I50" i="10"/>
  <c r="G47" i="10"/>
  <c r="BT8" i="10"/>
  <c r="BR19" i="10" s="1"/>
  <c r="N29" i="10"/>
  <c r="CA27" i="10" s="1"/>
  <c r="CD27" i="10" s="1"/>
  <c r="D47" i="10"/>
  <c r="H70" i="10"/>
  <c r="G58" i="10"/>
  <c r="E45" i="10"/>
  <c r="K35" i="10"/>
  <c r="BW21" i="10" s="1"/>
  <c r="BT16" i="10"/>
  <c r="N28" i="10"/>
  <c r="CA26" i="10" s="1"/>
  <c r="CD26" i="10" s="1"/>
  <c r="Q33" i="28"/>
  <c r="R33" i="28" s="1"/>
  <c r="Q94" i="28"/>
  <c r="R94" i="28" s="1"/>
  <c r="Q61" i="28"/>
  <c r="R61" i="28" s="1"/>
  <c r="Q26" i="28"/>
  <c r="R26" i="28" s="1"/>
  <c r="R18" i="28"/>
  <c r="Q81" i="28"/>
  <c r="Q53" i="28"/>
  <c r="R53" i="28" s="1"/>
  <c r="D110" i="10" l="1"/>
  <c r="D109" i="10"/>
  <c r="O44" i="10"/>
  <c r="M17" i="10"/>
  <c r="N15" i="10" s="1"/>
  <c r="D48" i="10"/>
  <c r="T25" i="10"/>
  <c r="K76" i="10"/>
  <c r="I53" i="10"/>
  <c r="T22" i="10"/>
  <c r="BT15" i="10"/>
  <c r="BT17" i="10" s="1"/>
  <c r="BR18" i="10" s="1"/>
  <c r="H73" i="10"/>
  <c r="H74" i="10" s="1"/>
  <c r="K73" i="10"/>
  <c r="G46" i="10"/>
  <c r="G51" i="10"/>
  <c r="G53" i="10" s="1"/>
  <c r="BR9" i="10"/>
  <c r="G54" i="10"/>
  <c r="BS20" i="10"/>
  <c r="M48" i="10"/>
  <c r="M53" i="10" s="1"/>
  <c r="BR21" i="10" l="1"/>
  <c r="BR20" i="10" s="1"/>
  <c r="O51" i="10"/>
  <c r="I45" i="10"/>
  <c r="I44" i="10" s="1"/>
  <c r="G44" i="10" s="1"/>
  <c r="D49" i="10"/>
  <c r="G55" i="10"/>
  <c r="I47" i="10" s="1"/>
  <c r="I48" i="10" s="1"/>
  <c r="I49" i="10" s="1"/>
  <c r="I51" i="10" s="1"/>
  <c r="I54" i="10" s="1"/>
  <c r="I55" i="10" s="1"/>
  <c r="U60" i="10"/>
  <c r="U59" i="10"/>
  <c r="N17" i="10"/>
  <c r="O57" i="10"/>
  <c r="CA28" i="10"/>
  <c r="CD28" i="10" s="1"/>
  <c r="CD32" i="10" s="1"/>
  <c r="CG35" i="10" s="1"/>
  <c r="CG36" i="10" s="1"/>
  <c r="U58" i="10" l="1"/>
  <c r="I56" i="10"/>
  <c r="G59" i="10"/>
  <c r="G60" i="10" s="1"/>
  <c r="T58" i="10" l="1"/>
  <c r="V55" i="10"/>
  <c r="N66" i="10" l="1"/>
  <c r="N67" i="10" s="1"/>
  <c r="I41" i="10" s="1"/>
  <c r="K41" i="10" l="1"/>
  <c r="K74" i="10"/>
  <c r="I38" i="10" s="1"/>
  <c r="AB45" i="10" l="1"/>
  <c r="B46" i="10"/>
  <c r="Q57" i="10"/>
  <c r="K38" i="10"/>
  <c r="V50" i="10"/>
  <c r="X50" i="10" s="1"/>
  <c r="Y49" i="10" s="1"/>
  <c r="Y50" i="10" s="1"/>
  <c r="V47" i="10"/>
  <c r="X47" i="10" s="1"/>
  <c r="Y47" i="10" s="1"/>
  <c r="V49" i="10"/>
  <c r="X49" i="10" s="1"/>
  <c r="Y48" i="10" s="1"/>
  <c r="V46" i="10"/>
  <c r="X46" i="10" s="1"/>
  <c r="Y46" i="10" s="1"/>
  <c r="V48" i="10"/>
  <c r="X48" i="10" s="1"/>
  <c r="I40" i="10" l="1"/>
  <c r="V53" i="10" s="1"/>
  <c r="V51" i="10" l="1"/>
  <c r="K40" i="10"/>
  <c r="V52" i="10"/>
  <c r="N64" i="10"/>
  <c r="AB55" i="10"/>
  <c r="V56" i="10" s="1"/>
  <c r="R46" i="10" s="1"/>
  <c r="I42" i="10" s="1"/>
  <c r="R45" i="10"/>
  <c r="V54" i="10"/>
  <c r="D112" i="10" l="1"/>
  <c r="E112" i="10" s="1"/>
  <c r="L34" i="10" s="1"/>
  <c r="N34" i="10" s="1"/>
  <c r="K42" i="10"/>
  <c r="D118" i="10" l="1"/>
  <c r="D121" i="10" s="1"/>
  <c r="D122" i="10" s="1"/>
  <c r="D113" i="10" s="1"/>
  <c r="E113" i="10" s="1"/>
  <c r="B43" i="10" l="1"/>
  <c r="L35" i="10"/>
  <c r="N35" i="10" s="1"/>
  <c r="E114" i="10"/>
  <c r="I43" i="10" s="1"/>
  <c r="K43" i="10" l="1"/>
  <c r="L36" i="10"/>
  <c r="N36" i="10" s="1"/>
  <c r="L38" i="10"/>
  <c r="N38" i="10" s="1"/>
  <c r="L37" i="10"/>
  <c r="N37" i="10" s="1"/>
  <c r="D44" i="10"/>
  <c r="P28" i="10"/>
  <c r="D50" i="10"/>
  <c r="D46" i="10" s="1"/>
  <c r="P29" i="10"/>
  <c r="M20" i="10" l="1"/>
  <c r="T21" i="10" s="1"/>
  <c r="T23" i="10" s="1"/>
  <c r="P27" i="10"/>
  <c r="P30" i="10" s="1"/>
  <c r="M55" i="10"/>
  <c r="M54" i="10"/>
  <c r="N41" i="10"/>
  <c r="N42" i="10" s="1"/>
</calcChain>
</file>

<file path=xl/sharedStrings.xml><?xml version="1.0" encoding="utf-8"?>
<sst xmlns="http://schemas.openxmlformats.org/spreadsheetml/2006/main" count="16273" uniqueCount="3705">
  <si>
    <t>Prestatie</t>
  </si>
  <si>
    <t>SG Kenmerk</t>
  </si>
  <si>
    <t>Jaargang</t>
  </si>
  <si>
    <t>Maximum tarief</t>
  </si>
  <si>
    <t>Prestatiecode</t>
  </si>
  <si>
    <t>Dagactiviteit basis H531</t>
  </si>
  <si>
    <t>Dagbesteding</t>
  </si>
  <si>
    <t>H531</t>
  </si>
  <si>
    <t>Dagbesteding VG-licht (VG1-VG4) H900</t>
  </si>
  <si>
    <t>H900</t>
  </si>
  <si>
    <t>Dagbesteding VG-zwaar (VG7) H902</t>
  </si>
  <si>
    <t>H902</t>
  </si>
  <si>
    <t>Dagactiviteit GGZ-LZA F125</t>
  </si>
  <si>
    <t>F125</t>
  </si>
  <si>
    <t>Dagbesteding VG-midden (VG5, VG6) H901</t>
  </si>
  <si>
    <t>H901</t>
  </si>
  <si>
    <t>Vervoer dagbesteding/dagbeh. kind extramuraal H896</t>
  </si>
  <si>
    <t>H896</t>
  </si>
  <si>
    <t>Extramuraal</t>
  </si>
  <si>
    <t>Verpleging extra H128</t>
  </si>
  <si>
    <t>H128</t>
  </si>
  <si>
    <t>Begeleiding speciaal 1 (nah) H152</t>
  </si>
  <si>
    <t>H152</t>
  </si>
  <si>
    <t>Begeleiding basis H300</t>
  </si>
  <si>
    <t>H300</t>
  </si>
  <si>
    <t>Verpleging basis H104</t>
  </si>
  <si>
    <t>H104</t>
  </si>
  <si>
    <t>Verpleging zorg op afstand aanvullend H107</t>
  </si>
  <si>
    <t>H107</t>
  </si>
  <si>
    <t>Begeleiding zorg op afstand aanvullend H305</t>
  </si>
  <si>
    <t>H305</t>
  </si>
  <si>
    <t>Gespecialiseerde begeleiding (psy) H153</t>
  </si>
  <si>
    <t>H153</t>
  </si>
  <si>
    <t>Persoonlijke Verzorging speciaal H120</t>
  </si>
  <si>
    <t>H120</t>
  </si>
  <si>
    <t>Begeleiding extra H150</t>
  </si>
  <si>
    <t>H150</t>
  </si>
  <si>
    <t>Persoonlijke Verzorging basis H126</t>
  </si>
  <si>
    <t>H126</t>
  </si>
  <si>
    <t>Persoonlijke Verzorging farmaceutische telezorg H137</t>
  </si>
  <si>
    <t>H137</t>
  </si>
  <si>
    <t>Persoonlijke Verzorging extra H127</t>
  </si>
  <si>
    <t>H127</t>
  </si>
  <si>
    <t>Gespecialiseerde verpleging H106</t>
  </si>
  <si>
    <t>H106</t>
  </si>
  <si>
    <t>Persoonlijke verzorging zorg op afstand aanvullend H136</t>
  </si>
  <si>
    <t>H136</t>
  </si>
  <si>
    <t>VPT</t>
  </si>
  <si>
    <t>Intramuraal</t>
  </si>
  <si>
    <t>VG6 excl. BH incl. DB Z461</t>
  </si>
  <si>
    <t>Z461</t>
  </si>
  <si>
    <t>Z661</t>
  </si>
  <si>
    <t>Z723</t>
  </si>
  <si>
    <t>VPT VV4 excl. BH incl. DB V041</t>
  </si>
  <si>
    <t>V041</t>
  </si>
  <si>
    <t>Z711</t>
  </si>
  <si>
    <t>Z731</t>
  </si>
  <si>
    <t>V713</t>
  </si>
  <si>
    <t>V842</t>
  </si>
  <si>
    <t>VG6 incl. BH incl. DB Z463</t>
  </si>
  <si>
    <t>Z463</t>
  </si>
  <si>
    <t>VV3 incl. BH incl. DB Z033</t>
  </si>
  <si>
    <t>Z033</t>
  </si>
  <si>
    <t>VPT VG6 incl. BH excl. DB V462</t>
  </si>
  <si>
    <t>V462</t>
  </si>
  <si>
    <t>V711</t>
  </si>
  <si>
    <t>VG2 excl. DB Z424</t>
  </si>
  <si>
    <t>Z424</t>
  </si>
  <si>
    <t>V671</t>
  </si>
  <si>
    <t>GGZ2B incl. BH incl. DB Z223</t>
  </si>
  <si>
    <t>Z223</t>
  </si>
  <si>
    <t>Z743</t>
  </si>
  <si>
    <t>VG5 incl. BH incl. DB Z457</t>
  </si>
  <si>
    <t>Z457</t>
  </si>
  <si>
    <t>VG3 excl. BH incl. DB Z431</t>
  </si>
  <si>
    <t>Z431</t>
  </si>
  <si>
    <t>Z630</t>
  </si>
  <si>
    <t>Z833</t>
  </si>
  <si>
    <t>VPT VG1 excl. BH incl. DB V415</t>
  </si>
  <si>
    <t>V415</t>
  </si>
  <si>
    <t>VG7 excl. BH excl. DB Z470</t>
  </si>
  <si>
    <t>Z470</t>
  </si>
  <si>
    <t>VG4 excl. BH incl. DB Z441</t>
  </si>
  <si>
    <t>Z441</t>
  </si>
  <si>
    <t>Z653</t>
  </si>
  <si>
    <t>Z852</t>
  </si>
  <si>
    <t>Z720</t>
  </si>
  <si>
    <t>Z825</t>
  </si>
  <si>
    <t>V721</t>
  </si>
  <si>
    <t>Z993</t>
  </si>
  <si>
    <t>VG6 incl. BH excl. DB Z462</t>
  </si>
  <si>
    <t>Z462</t>
  </si>
  <si>
    <t>VPT VV10 excl. BH incl. DB V101</t>
  </si>
  <si>
    <t>V101</t>
  </si>
  <si>
    <t>VV5 excl. BH incl. DB Z051</t>
  </si>
  <si>
    <t>Z051</t>
  </si>
  <si>
    <t>Z824</t>
  </si>
  <si>
    <t>VV8 excl. BH incl. DB Z081</t>
  </si>
  <si>
    <t>Z081</t>
  </si>
  <si>
    <t>V831</t>
  </si>
  <si>
    <t>Z641</t>
  </si>
  <si>
    <t>VPT VG6 excl. BH incl. DB V461</t>
  </si>
  <si>
    <t>V461</t>
  </si>
  <si>
    <t>V732</t>
  </si>
  <si>
    <t>VPT VG4 incl. BH incl. DB V443</t>
  </si>
  <si>
    <t>V443</t>
  </si>
  <si>
    <t>VPT VV5 excl. BH incl. DB V051</t>
  </si>
  <si>
    <t>V051</t>
  </si>
  <si>
    <t>VG3 excl. BH excl. DB Z430</t>
  </si>
  <si>
    <t>Z430</t>
  </si>
  <si>
    <t>VG8 Incl. BH Incl. DB Z483</t>
  </si>
  <si>
    <t>Z483</t>
  </si>
  <si>
    <t>V615</t>
  </si>
  <si>
    <t>V814</t>
  </si>
  <si>
    <t>VG3 incl. BH incl. DB Z433</t>
  </si>
  <si>
    <t>Z433</t>
  </si>
  <si>
    <t>Z625</t>
  </si>
  <si>
    <t>Z814</t>
  </si>
  <si>
    <t>Z642</t>
  </si>
  <si>
    <t>VG7 excl. BH incl. DB Z471</t>
  </si>
  <si>
    <t>Z471</t>
  </si>
  <si>
    <t>VG8 Incl. BH Excl. DB Z482</t>
  </si>
  <si>
    <t>Z482</t>
  </si>
  <si>
    <t>V624</t>
  </si>
  <si>
    <t>V733</t>
  </si>
  <si>
    <t>VPT LVG1 incl. BH incl. DB V513</t>
  </si>
  <si>
    <t>V513</t>
  </si>
  <si>
    <t>VV4 excl. BH incl. DB Z041</t>
  </si>
  <si>
    <t>Z041</t>
  </si>
  <si>
    <t>VV10 incl. BH incl. DB Z103</t>
  </si>
  <si>
    <t>Z103</t>
  </si>
  <si>
    <t>LVG1 incl. BH incl. DB Z513</t>
  </si>
  <si>
    <t>Z513</t>
  </si>
  <si>
    <t>Z614</t>
  </si>
  <si>
    <t>V673</t>
  </si>
  <si>
    <t>VPT VV2 excl. BH incl. DB V025</t>
  </si>
  <si>
    <t>V025</t>
  </si>
  <si>
    <t>V631</t>
  </si>
  <si>
    <t>V843</t>
  </si>
  <si>
    <t>Z663</t>
  </si>
  <si>
    <t>Z633</t>
  </si>
  <si>
    <t>VPT VG7 excl. BH incl. DB V471</t>
  </si>
  <si>
    <t>V471</t>
  </si>
  <si>
    <t>V650</t>
  </si>
  <si>
    <t>LVG3 incl. BH incl. DB Z533</t>
  </si>
  <si>
    <t>Z533</t>
  </si>
  <si>
    <t>VPT VG7 excl. BH excl. DB V470</t>
  </si>
  <si>
    <t>V470</t>
  </si>
  <si>
    <t>VG2 incl. DB Z425</t>
  </si>
  <si>
    <t>Z425</t>
  </si>
  <si>
    <t>GGZ7B incl. BH incl. DB Z273</t>
  </si>
  <si>
    <t>Z273</t>
  </si>
  <si>
    <t>Z651</t>
  </si>
  <si>
    <t>GGZ6B incl. BH excl. DB Z262</t>
  </si>
  <si>
    <t>Z262</t>
  </si>
  <si>
    <t>V652</t>
  </si>
  <si>
    <t>V651</t>
  </si>
  <si>
    <t>VPT VG1 excl. BH excl. DB V414</t>
  </si>
  <si>
    <t>V414</t>
  </si>
  <si>
    <t>Z631</t>
  </si>
  <si>
    <t>VG7 incl. BH incl. DB Z473</t>
  </si>
  <si>
    <t>Z473</t>
  </si>
  <si>
    <t>V670</t>
  </si>
  <si>
    <t>VV7 incl. BH incl. DB Z073</t>
  </si>
  <si>
    <t>Z073</t>
  </si>
  <si>
    <t>V653</t>
  </si>
  <si>
    <t>VPT VV4 incl. BH incl. DB V043</t>
  </si>
  <si>
    <t>V043</t>
  </si>
  <si>
    <t>Z730</t>
  </si>
  <si>
    <t>VG5 excl. BH incl. DB Z455</t>
  </si>
  <si>
    <t>Z455</t>
  </si>
  <si>
    <t>Z721</t>
  </si>
  <si>
    <t>Z831</t>
  </si>
  <si>
    <t>V720</t>
  </si>
  <si>
    <t>VG1 excl. DB Z414</t>
  </si>
  <si>
    <t>Z414</t>
  </si>
  <si>
    <t>VPT VG2 excl. BH incl. DB V425</t>
  </si>
  <si>
    <t>V425</t>
  </si>
  <si>
    <t>V672</t>
  </si>
  <si>
    <t>V853</t>
  </si>
  <si>
    <t>Z660</t>
  </si>
  <si>
    <t>V632</t>
  </si>
  <si>
    <t>VPT VG7 incl. BH incl. DB V473</t>
  </si>
  <si>
    <t>V473</t>
  </si>
  <si>
    <t>VG4 incl. BH excl. DB Z442</t>
  </si>
  <si>
    <t>Z442</t>
  </si>
  <si>
    <t>V723</t>
  </si>
  <si>
    <t>VPT VV10 incl. BH incl. DB V103</t>
  </si>
  <si>
    <t>V103</t>
  </si>
  <si>
    <t>Z851</t>
  </si>
  <si>
    <t>V740</t>
  </si>
  <si>
    <t>VG4 excl. BH excl. DB Z440</t>
  </si>
  <si>
    <t>Z440</t>
  </si>
  <si>
    <t>GGZ5B incl. BH excl. DB Z252</t>
  </si>
  <si>
    <t>Z252</t>
  </si>
  <si>
    <t>V730</t>
  </si>
  <si>
    <t>VPT VV8 incl. BH incl. DB V083</t>
  </si>
  <si>
    <t>V083</t>
  </si>
  <si>
    <t>VG8 Excl. BH Incl. DB Z481</t>
  </si>
  <si>
    <t>Z481</t>
  </si>
  <si>
    <t>V824</t>
  </si>
  <si>
    <t>VPT VG5 incl. BH excl. DB V456</t>
  </si>
  <si>
    <t>V456</t>
  </si>
  <si>
    <t>V841</t>
  </si>
  <si>
    <t>Z640</t>
  </si>
  <si>
    <t>VPT LVG5 incl. BH incl. DB V553</t>
  </si>
  <si>
    <t>V553</t>
  </si>
  <si>
    <t>Z615</t>
  </si>
  <si>
    <t>Z843</t>
  </si>
  <si>
    <t>VPT VV3 excl. BH incl. DB V031</t>
  </si>
  <si>
    <t>V031</t>
  </si>
  <si>
    <t>Z671</t>
  </si>
  <si>
    <t>GGZ3B incl. BH excl. DB Z232</t>
  </si>
  <si>
    <t>Z232</t>
  </si>
  <si>
    <t>Z995</t>
  </si>
  <si>
    <t>Z850</t>
  </si>
  <si>
    <t>Z996</t>
  </si>
  <si>
    <t>V614</t>
  </si>
  <si>
    <t>Z841</t>
  </si>
  <si>
    <t>VPT VG3 excl. BH excl. DB V430</t>
  </si>
  <si>
    <t>V430</t>
  </si>
  <si>
    <t>Z994</t>
  </si>
  <si>
    <t>VPT VG6 incl. BH incl. DB V463</t>
  </si>
  <si>
    <t>V463</t>
  </si>
  <si>
    <t>V830</t>
  </si>
  <si>
    <t>VG5 incl. BH excl. DB Z456</t>
  </si>
  <si>
    <t>Z456</t>
  </si>
  <si>
    <t>V722</t>
  </si>
  <si>
    <t>V660</t>
  </si>
  <si>
    <t>Z670</t>
  </si>
  <si>
    <t>VPT VG4 excl. BH incl. DB V441</t>
  </si>
  <si>
    <t>V441</t>
  </si>
  <si>
    <t>Z840</t>
  </si>
  <si>
    <t>V642</t>
  </si>
  <si>
    <t>VPT VG3 incl. BH excl. DB V432</t>
  </si>
  <si>
    <t>V432</t>
  </si>
  <si>
    <t>VG8 Excl. BH Excl. DB Z480</t>
  </si>
  <si>
    <t>Z480</t>
  </si>
  <si>
    <t>Z672</t>
  </si>
  <si>
    <t>Z853</t>
  </si>
  <si>
    <t>VPT LVG4 incl. BH incl. DB V543</t>
  </si>
  <si>
    <t>V543</t>
  </si>
  <si>
    <t>GGZ6B incl. BH incl. DB Z263</t>
  </si>
  <si>
    <t>Z263</t>
  </si>
  <si>
    <t>VPT VV1 excl. BH incl. DB V015</t>
  </si>
  <si>
    <t>V015</t>
  </si>
  <si>
    <t>VV7 excl. BH incl. DB Z071</t>
  </si>
  <si>
    <t>Z071</t>
  </si>
  <si>
    <t>V825</t>
  </si>
  <si>
    <t>VPT VG8 excl. BH incl. DB V481</t>
  </si>
  <si>
    <t>V481</t>
  </si>
  <si>
    <t>VPT VG2 excl. BH excl. DB V424</t>
  </si>
  <si>
    <t>V424</t>
  </si>
  <si>
    <t>VV1 incl. DB Z015</t>
  </si>
  <si>
    <t>Z015</t>
  </si>
  <si>
    <t>V630</t>
  </si>
  <si>
    <t>VPT LVG2 incl. BH incl. DB V523</t>
  </si>
  <si>
    <t>V523</t>
  </si>
  <si>
    <t>V852</t>
  </si>
  <si>
    <t>GGZ7B incl. BH excl. DB Z272</t>
  </si>
  <si>
    <t>Z272</t>
  </si>
  <si>
    <t>Z842</t>
  </si>
  <si>
    <t>VPT VV6 excl. BH incl. DB V061</t>
  </si>
  <si>
    <t>V061</t>
  </si>
  <si>
    <t>V741</t>
  </si>
  <si>
    <t>VPT VG3 excl. BH incl. DB V431</t>
  </si>
  <si>
    <t>V431</t>
  </si>
  <si>
    <t>VPT VV7 incl. BH incl. DB V073</t>
  </si>
  <si>
    <t>V073</t>
  </si>
  <si>
    <t>VV5 incl. BH incl. DB Z053</t>
  </si>
  <si>
    <t>Z053</t>
  </si>
  <si>
    <t>VPT LVG3 incl. BH incl. DB V533</t>
  </si>
  <si>
    <t>V533</t>
  </si>
  <si>
    <t>V643</t>
  </si>
  <si>
    <t>VPT VG4 excl. BH excl. DB V440</t>
  </si>
  <si>
    <t>V440</t>
  </si>
  <si>
    <t>VG1 incl. DB Z415</t>
  </si>
  <si>
    <t>Z415</t>
  </si>
  <si>
    <t>V625</t>
  </si>
  <si>
    <t>VG5 excl. BH excl. DB Z454</t>
  </si>
  <si>
    <t>Z454</t>
  </si>
  <si>
    <t>VPT VG8 incl. BH excl. DB V482</t>
  </si>
  <si>
    <t>V482</t>
  </si>
  <si>
    <t>VV6 incl. BH incl. DB Z063</t>
  </si>
  <si>
    <t>Z063</t>
  </si>
  <si>
    <t>V850</t>
  </si>
  <si>
    <t>V832</t>
  </si>
  <si>
    <t>VPT VG5 excl. BH excl. DB V454</t>
  </si>
  <si>
    <t>V454</t>
  </si>
  <si>
    <t>V663</t>
  </si>
  <si>
    <t>VPT VV3 incl. BH incl. DB V033</t>
  </si>
  <si>
    <t>V033</t>
  </si>
  <si>
    <t>V833</t>
  </si>
  <si>
    <t>Z815</t>
  </si>
  <si>
    <t>GGZ1B incl. BH incl. DB Z213</t>
  </si>
  <si>
    <t>Z213</t>
  </si>
  <si>
    <t>Z722</t>
  </si>
  <si>
    <t>VV2 incl. DB Z025</t>
  </si>
  <si>
    <t>Z025</t>
  </si>
  <si>
    <t>VPT VG3 incl. BH incl. DB V433</t>
  </si>
  <si>
    <t>V433</t>
  </si>
  <si>
    <t>V633</t>
  </si>
  <si>
    <t>Z710</t>
  </si>
  <si>
    <t>Z733</t>
  </si>
  <si>
    <t>V840</t>
  </si>
  <si>
    <t>VPT VV8 excl. BH incl. DB V081</t>
  </si>
  <si>
    <t>V081</t>
  </si>
  <si>
    <t>V712</t>
  </si>
  <si>
    <t>Z740</t>
  </si>
  <si>
    <t>VPT VG6 excl. BH excl. DB V460</t>
  </si>
  <si>
    <t>V460</t>
  </si>
  <si>
    <t>Z732</t>
  </si>
  <si>
    <t>VG3 incl. BH excl. DB Z432</t>
  </si>
  <si>
    <t>Z432</t>
  </si>
  <si>
    <t>GGZ2B incl. BH excl. DB Z222</t>
  </si>
  <si>
    <t>Z222</t>
  </si>
  <si>
    <t>Z643</t>
  </si>
  <si>
    <t>VPT VG4 incl. BH excl. DB V442</t>
  </si>
  <si>
    <t>V442</t>
  </si>
  <si>
    <t>GGZ4B incl. BH incl. DB Z243</t>
  </si>
  <si>
    <t>Z243</t>
  </si>
  <si>
    <t>GGZ3B incl. BH incl. DB Z233</t>
  </si>
  <si>
    <t>Z233</t>
  </si>
  <si>
    <t>VV3 excl. BH incl. DB Z031</t>
  </si>
  <si>
    <t>Z031</t>
  </si>
  <si>
    <t>V731</t>
  </si>
  <si>
    <t>VV6 excl. BH incl. DB Z061</t>
  </si>
  <si>
    <t>Z061</t>
  </si>
  <si>
    <t>VPT VG7 incl. BH excl. DB V472</t>
  </si>
  <si>
    <t>V472</t>
  </si>
  <si>
    <t>Z741</t>
  </si>
  <si>
    <t>Z632</t>
  </si>
  <si>
    <t>LVG4 incl. BH incl. DB Z543</t>
  </si>
  <si>
    <t>Z543</t>
  </si>
  <si>
    <t>GGZ4B incl. BH excl. DB Z242</t>
  </si>
  <si>
    <t>Z242</t>
  </si>
  <si>
    <t>V743</t>
  </si>
  <si>
    <t>V641</t>
  </si>
  <si>
    <t>Z624</t>
  </si>
  <si>
    <t>VPT VV6 incl. BH incl. DB V063</t>
  </si>
  <si>
    <t>V063</t>
  </si>
  <si>
    <t>VV4 incl. BH incl. DB Z043</t>
  </si>
  <si>
    <t>Z043</t>
  </si>
  <si>
    <t>V640</t>
  </si>
  <si>
    <t>V815</t>
  </si>
  <si>
    <t>GGZ5B incl. BH incl. DB Z253</t>
  </si>
  <si>
    <t>Z253</t>
  </si>
  <si>
    <t>Z673</t>
  </si>
  <si>
    <t>Z742</t>
  </si>
  <si>
    <t>VPT VG5 incl. BH incl. DB V457</t>
  </si>
  <si>
    <t>V457</t>
  </si>
  <si>
    <t>VPT VG8 incl. BH incl. DB V483</t>
  </si>
  <si>
    <t>V483</t>
  </si>
  <si>
    <t>LVG5 incl. BH incl. DB Z553</t>
  </si>
  <si>
    <t>Z553</t>
  </si>
  <si>
    <t>Z650</t>
  </si>
  <si>
    <t>V851</t>
  </si>
  <si>
    <t>Z652</t>
  </si>
  <si>
    <t>Z662</t>
  </si>
  <si>
    <t>Z713</t>
  </si>
  <si>
    <t>V710</t>
  </si>
  <si>
    <t>Z830</t>
  </si>
  <si>
    <t>VG4 incl. BH incl. DB Z443</t>
  </si>
  <si>
    <t>Z443</t>
  </si>
  <si>
    <t>V661</t>
  </si>
  <si>
    <t>VPT VG5 excl. BH incl. DB V455</t>
  </si>
  <si>
    <t>V455</t>
  </si>
  <si>
    <t>VG6 excl. BH excl. DB Z460</t>
  </si>
  <si>
    <t>Z460</t>
  </si>
  <si>
    <t>Z712</t>
  </si>
  <si>
    <t>VV8 incl. BH incl. DB Z083</t>
  </si>
  <si>
    <t>Z083</t>
  </si>
  <si>
    <t>VPT VG8 excl. BH excl. DB V480</t>
  </si>
  <si>
    <t>V480</t>
  </si>
  <si>
    <t>GGZ1B incl. BH excl. DB Z212</t>
  </si>
  <si>
    <t>Z212</t>
  </si>
  <si>
    <t>V742</t>
  </si>
  <si>
    <t>VPT VV5 incl. BH incl. DB V053</t>
  </si>
  <si>
    <t>V053</t>
  </si>
  <si>
    <t>Z832</t>
  </si>
  <si>
    <t>V662</t>
  </si>
  <si>
    <t>VG7 incl. BH excl. DB Z472</t>
  </si>
  <si>
    <t>Z472</t>
  </si>
  <si>
    <t>VV10 excl. BH incl. DB Z101</t>
  </si>
  <si>
    <t>Z101</t>
  </si>
  <si>
    <t>VPT VV7 excl. BH incl. DB V071</t>
  </si>
  <si>
    <t>V071</t>
  </si>
  <si>
    <t>LVG2 incl. BH incl. DB Z523</t>
  </si>
  <si>
    <t>Z523</t>
  </si>
  <si>
    <t>Dagbehandeling VG kind zwaar H821</t>
  </si>
  <si>
    <t>H821</t>
  </si>
  <si>
    <t>Dagbehandeling VG kind midden H820</t>
  </si>
  <si>
    <t>H820</t>
  </si>
  <si>
    <t>Behandeling basis jlvg H325</t>
  </si>
  <si>
    <t>Behandeling</t>
  </si>
  <si>
    <t>H325</t>
  </si>
  <si>
    <t>Behandeling Families First (j)lvg H331</t>
  </si>
  <si>
    <t>H331</t>
  </si>
  <si>
    <t>Dagbehandeling VG kind emg H817</t>
  </si>
  <si>
    <t>H817</t>
  </si>
  <si>
    <t>Dagbehandeling VG kind gedrag H822</t>
  </si>
  <si>
    <t>H822</t>
  </si>
  <si>
    <t>Behandeling gedragswetenschapper H329</t>
  </si>
  <si>
    <t>H329</t>
  </si>
  <si>
    <t>Dagbehandeling LG licht H837</t>
  </si>
  <si>
    <t>H837</t>
  </si>
  <si>
    <t>Dagbehandeling LG zwaar H839</t>
  </si>
  <si>
    <t>H839</t>
  </si>
  <si>
    <t>Dagbehandeling VG emg H819</t>
  </si>
  <si>
    <t>H819</t>
  </si>
  <si>
    <t>Behandeling basis sglvg deeltijd H327</t>
  </si>
  <si>
    <t>H327</t>
  </si>
  <si>
    <t>Vervoer dagbesteding/dagbehandeling GHZ extramuraal H894</t>
  </si>
  <si>
    <t>H894</t>
  </si>
  <si>
    <t>Dagbehandeling JLVG H891</t>
  </si>
  <si>
    <t>H891</t>
  </si>
  <si>
    <t>Dagbehandeling LG midden H838</t>
  </si>
  <si>
    <t>H838</t>
  </si>
  <si>
    <t>Behandeling basis sglvg traject H326</t>
  </si>
  <si>
    <t>H326</t>
  </si>
  <si>
    <t>Behandeling ZG visueel H332</t>
  </si>
  <si>
    <t>H332</t>
  </si>
  <si>
    <t>Behandeling ZG auditief H333</t>
  </si>
  <si>
    <t>H333</t>
  </si>
  <si>
    <t>Reiskosten prestaties behandeling (H325-H333) H321</t>
  </si>
  <si>
    <t>H321</t>
  </si>
  <si>
    <t>Dagbehandeling ouderen som en pg H802</t>
  </si>
  <si>
    <t>H802</t>
  </si>
  <si>
    <t>Vervoer dagbesteding/dagbehandeling GHZ rolstoel extram. H895</t>
  </si>
  <si>
    <t>H895</t>
  </si>
  <si>
    <t>Behandeling IOG (j)lvg H334</t>
  </si>
  <si>
    <t>H334</t>
  </si>
  <si>
    <t>Behandeling basis som, pg, vg, lg H328</t>
  </si>
  <si>
    <t>H328</t>
  </si>
  <si>
    <t>Vervoer dagbesteding/dagbehandeling V&amp;V H803</t>
  </si>
  <si>
    <t>H803</t>
  </si>
  <si>
    <t>Behandeling paramedisch H330</t>
  </si>
  <si>
    <t>H330</t>
  </si>
  <si>
    <t>Inventaris dagbesteding LG H919</t>
  </si>
  <si>
    <t>H919</t>
  </si>
  <si>
    <t>Inventaris dagbesteding ZG H929</t>
  </si>
  <si>
    <t>H929</t>
  </si>
  <si>
    <t>Vervoer dagbesteding kind intramuraal H976</t>
  </si>
  <si>
    <t>H976</t>
  </si>
  <si>
    <t>H912</t>
  </si>
  <si>
    <t>Vervoer dagbesteding GHZ intramuraal H974</t>
  </si>
  <si>
    <t>H974</t>
  </si>
  <si>
    <t>H910</t>
  </si>
  <si>
    <t>Toeslag kind dagbesteding VG midden H941</t>
  </si>
  <si>
    <t>H941</t>
  </si>
  <si>
    <t>Toeslag kind dagbesteding VG licht H940</t>
  </si>
  <si>
    <t>H940</t>
  </si>
  <si>
    <t>Vervoer dagbesteding GHZ rolstoel intram. H975</t>
  </si>
  <si>
    <t>H975</t>
  </si>
  <si>
    <t>Toeslag kind dagbesteding LG midden H951</t>
  </si>
  <si>
    <t>H951</t>
  </si>
  <si>
    <t>Dagbesteding ZG vis zwaar (ZG vis4, ZG vis5) H932</t>
  </si>
  <si>
    <t>H932</t>
  </si>
  <si>
    <t>Dagbesteding ZG aud zwaar (ZG aud3) H922</t>
  </si>
  <si>
    <t>H922</t>
  </si>
  <si>
    <t>Dagbesteding ZG aud midden (ZG aud2) H921</t>
  </si>
  <si>
    <t>H921</t>
  </si>
  <si>
    <t>Toeslag kind dagbesteding VG5/VG8 midden emg H942</t>
  </si>
  <si>
    <t>H942</t>
  </si>
  <si>
    <t>Toeslag kind dagbesteding LG zwaar H952</t>
  </si>
  <si>
    <t>H952</t>
  </si>
  <si>
    <t>Dagbesteding ZG aud licht (ZG aud1, ZG aud4) H920</t>
  </si>
  <si>
    <t>H920</t>
  </si>
  <si>
    <t>Dagbesteding ZG vis midden (ZG vis1) H931</t>
  </si>
  <si>
    <t>H931</t>
  </si>
  <si>
    <t>H911</t>
  </si>
  <si>
    <t>Kapitaallasten dagbesteding ZG H928</t>
  </si>
  <si>
    <t>H928</t>
  </si>
  <si>
    <t>Toeslag kind dagbesteding LG licht H950</t>
  </si>
  <si>
    <t>H950</t>
  </si>
  <si>
    <t>Dagbesteding ZG vis licht ( ZG vis2, ZG vis3) H930</t>
  </si>
  <si>
    <t>H930</t>
  </si>
  <si>
    <t>Kapitaallasten dagbesteding LG H918</t>
  </si>
  <si>
    <t>H918</t>
  </si>
  <si>
    <t>Kapitaallasten dagbesteding VG H908</t>
  </si>
  <si>
    <t>H908</t>
  </si>
  <si>
    <t>Toeslag kind dagbesteding VG zwaar H943</t>
  </si>
  <si>
    <t>H943</t>
  </si>
  <si>
    <t>Inventaris dagbesteding VG H909</t>
  </si>
  <si>
    <t>H909</t>
  </si>
  <si>
    <t>Begeleiding speciaal 2 (visueel) H302</t>
  </si>
  <si>
    <t>H302</t>
  </si>
  <si>
    <t>Toeslag kind dagbesteding ZG auditief licht H960</t>
  </si>
  <si>
    <t>H960</t>
  </si>
  <si>
    <t>Dagactiviteit pg H533</t>
  </si>
  <si>
    <t>H533</t>
  </si>
  <si>
    <t>Dagactiviteit LG midden H832</t>
  </si>
  <si>
    <t>H832</t>
  </si>
  <si>
    <t>Dagactiviteit ZG aud kind zwaar H856</t>
  </si>
  <si>
    <t>H856</t>
  </si>
  <si>
    <t>Dagactiviteit ZG vis kind zwaar H876</t>
  </si>
  <si>
    <t>H876</t>
  </si>
  <si>
    <t>Dagactiviteit ZG aud zwaar H853</t>
  </si>
  <si>
    <t>H853</t>
  </si>
  <si>
    <t>Dagactiviteit VG licht H811</t>
  </si>
  <si>
    <t>H811</t>
  </si>
  <si>
    <t>Dagactiviteit VG kind midden H815</t>
  </si>
  <si>
    <t>H815</t>
  </si>
  <si>
    <t>Begeleiding ZG visueel H301</t>
  </si>
  <si>
    <t>H301</t>
  </si>
  <si>
    <t>Dagactiviteit ZG vis kind licht H874</t>
  </si>
  <si>
    <t>H874</t>
  </si>
  <si>
    <t>Toeslag kind dagbesteding ZG auditief midden H961</t>
  </si>
  <si>
    <t>H961</t>
  </si>
  <si>
    <t>Dagactiviteit LG kind midden H835</t>
  </si>
  <si>
    <t>H835</t>
  </si>
  <si>
    <t>Dagactiviteit ZG vis licht H871</t>
  </si>
  <si>
    <t>H871</t>
  </si>
  <si>
    <t>Toeslag kind dagbesteding ZG visueel licht H970</t>
  </si>
  <si>
    <t>H970</t>
  </si>
  <si>
    <t>Dagactiviteit ZG aud kind midden H855</t>
  </si>
  <si>
    <t>H855</t>
  </si>
  <si>
    <t>Dagactiviteit LG zwaar H833</t>
  </si>
  <si>
    <t>H833</t>
  </si>
  <si>
    <t>Dagactiviteit som-ondersteunend H800</t>
  </si>
  <si>
    <t>H800</t>
  </si>
  <si>
    <t>Begeleiding ZG auditief H303</t>
  </si>
  <si>
    <t>H303</t>
  </si>
  <si>
    <t>Dagactiviteit VG midden H812</t>
  </si>
  <si>
    <t>H812</t>
  </si>
  <si>
    <t>Dagactiviteit ZG vis zwaar H873</t>
  </si>
  <si>
    <t>H873</t>
  </si>
  <si>
    <t>Nachtverpleging H180</t>
  </si>
  <si>
    <t>H180</t>
  </si>
  <si>
    <t>Dagactiviteit ZG aud kind licht H854</t>
  </si>
  <si>
    <t>H854</t>
  </si>
  <si>
    <t>Dagactiviteit ZG aud midden H852</t>
  </si>
  <si>
    <t>H852</t>
  </si>
  <si>
    <t>Dagactiviteit ZG vis midden H872</t>
  </si>
  <si>
    <t>H872</t>
  </si>
  <si>
    <t>Dagactiviteit VG kind zwaar H816</t>
  </si>
  <si>
    <t>H816</t>
  </si>
  <si>
    <t>Dagactiviteit ZG vis kind midden H875</t>
  </si>
  <si>
    <t>H875</t>
  </si>
  <si>
    <t>Dagactiviteit LG licht H831</t>
  </si>
  <si>
    <t>H831</t>
  </si>
  <si>
    <t>Dagactiviteit ZG aud licht H851</t>
  </si>
  <si>
    <t>H851</t>
  </si>
  <si>
    <t>Toeslag kind dagbesteding ZG auditief zwaar H962</t>
  </si>
  <si>
    <t>H962</t>
  </si>
  <si>
    <t>Dagactiviteit VG zwaar H813</t>
  </si>
  <si>
    <t>H813</t>
  </si>
  <si>
    <t>Nachtverzorging H132</t>
  </si>
  <si>
    <t>H132</t>
  </si>
  <si>
    <t>Dagactiviteit VG kind licht H814</t>
  </si>
  <si>
    <t>H814</t>
  </si>
  <si>
    <t>Toeslag kind dagbesteding ZG visueel midden H971</t>
  </si>
  <si>
    <t>H971</t>
  </si>
  <si>
    <t>Dagactiviteit LG kind zwaar H836</t>
  </si>
  <si>
    <t>H836</t>
  </si>
  <si>
    <t>Dagactiviteit VG kind gedrag H818</t>
  </si>
  <si>
    <t>H818</t>
  </si>
  <si>
    <t>Toeslag kind dagbesteding ZG visueel zwaar H972</t>
  </si>
  <si>
    <t>H972</t>
  </si>
  <si>
    <t>Dagactiviteit LG kind licht H834</t>
  </si>
  <si>
    <t>H834</t>
  </si>
  <si>
    <t>Begeleiding speciaal 2 (auditief) H304</t>
  </si>
  <si>
    <t>H304</t>
  </si>
  <si>
    <t>SGLVG1 incl. BH incl. DB Z573</t>
  </si>
  <si>
    <t>Z573</t>
  </si>
  <si>
    <t>VPT SGLVG1 incl. BH incl. DB V573</t>
  </si>
  <si>
    <t>V573</t>
  </si>
  <si>
    <t>Verpleging: AIV H114</t>
  </si>
  <si>
    <t>H114</t>
  </si>
  <si>
    <t>VV9b incl. BH incl. DB  Z097</t>
  </si>
  <si>
    <t>Z097</t>
  </si>
  <si>
    <t>VV9b excl. BH incl. DB Z095</t>
  </si>
  <si>
    <t>Z095</t>
  </si>
  <si>
    <t>VPT VV9b excl. BH incl. DB V095</t>
  </si>
  <si>
    <t>V095</t>
  </si>
  <si>
    <t>VPT VV9b incl. BH incl. DB V097</t>
  </si>
  <si>
    <t>V097</t>
  </si>
  <si>
    <t>NHC/NIC</t>
  </si>
  <si>
    <t>per jaar</t>
  </si>
  <si>
    <t>VV1incl. DB</t>
  </si>
  <si>
    <t>VV2incl. DB</t>
  </si>
  <si>
    <t>VV3 excl. BHincl. DB</t>
  </si>
  <si>
    <t>VV3 incl. BHincl. DB</t>
  </si>
  <si>
    <t>VV4 excl. BHincl. DB</t>
  </si>
  <si>
    <t>VV4 incl. BHincl. DB</t>
  </si>
  <si>
    <t>VV5 excl. BHincl. DB</t>
  </si>
  <si>
    <t>VV5 incl. BHincl. DB</t>
  </si>
  <si>
    <t>VV6 excl. BHincl. DB</t>
  </si>
  <si>
    <t>VV6 incl. BHincl. DB</t>
  </si>
  <si>
    <t>VV7 excl. BHincl. DB</t>
  </si>
  <si>
    <t>VV7 incl. BHincl. DB</t>
  </si>
  <si>
    <t>VV8 excl. BHincl. DB</t>
  </si>
  <si>
    <t>VV8 incl. BHincl. DB</t>
  </si>
  <si>
    <t>VV9b excl. BHincl. DB</t>
  </si>
  <si>
    <t>VV9b incl. BHincl. DB</t>
  </si>
  <si>
    <t>VV10 excl. BHincl. DB</t>
  </si>
  <si>
    <t>VV10 incl. BHincl. DB</t>
  </si>
  <si>
    <t>GGZ1B incl. BH excl. DB</t>
  </si>
  <si>
    <t>GGZ1B incl. BHincl. DB</t>
  </si>
  <si>
    <t>GGZ2B incl. BH excl. DB</t>
  </si>
  <si>
    <t>GGZ2B incl. BHincl. DB</t>
  </si>
  <si>
    <t>GGZ3B incl. BH excl. DB</t>
  </si>
  <si>
    <t>GGZ3B incl. BHincl. DB</t>
  </si>
  <si>
    <t>GGZ4B incl. BH excl. DB</t>
  </si>
  <si>
    <t>GGZ4B incl. BHincl. DB</t>
  </si>
  <si>
    <t>GGZ5B incl. BH excl. DB</t>
  </si>
  <si>
    <t>GGZ5B incl. BHincl. DB</t>
  </si>
  <si>
    <t>GGZ6B incl. BH excl. DB</t>
  </si>
  <si>
    <t>GGZ6B incl. BHincl. DB</t>
  </si>
  <si>
    <t>GGZ7B incl. BH excl. DB</t>
  </si>
  <si>
    <t>GGZ7B incl. BHincl. DB</t>
  </si>
  <si>
    <t>VG1 excl. DB</t>
  </si>
  <si>
    <t>VG1incl. DB</t>
  </si>
  <si>
    <t>VG2 excl. DB</t>
  </si>
  <si>
    <t>VG2incl. DB</t>
  </si>
  <si>
    <t>VG3 excl. BH excl. DB</t>
  </si>
  <si>
    <t>VG3 excl. BHincl. DB</t>
  </si>
  <si>
    <t>VG3 incl. BH excl. DB</t>
  </si>
  <si>
    <t>VG3 incl. BHincl. DB</t>
  </si>
  <si>
    <t>VG4 excl. BH excl. DB</t>
  </si>
  <si>
    <t>VG4 excl. BHincl. DB</t>
  </si>
  <si>
    <t>VG4 incl. BH excl. DB</t>
  </si>
  <si>
    <t>VG4 incl. BHincl. DB</t>
  </si>
  <si>
    <t>VG5 excl. BH excl. DB</t>
  </si>
  <si>
    <t>VG5 excl. BHincl. DB</t>
  </si>
  <si>
    <t>VG5 incl. BH excl. DB</t>
  </si>
  <si>
    <t>VG5 incl. BHincl. DB</t>
  </si>
  <si>
    <t>VG6 excl. BH excl. DB</t>
  </si>
  <si>
    <t>VG6 excl. BHincl. DB</t>
  </si>
  <si>
    <t>VG6 incl. BH excl. DB</t>
  </si>
  <si>
    <t>VG6 incl. BHincl. DB</t>
  </si>
  <si>
    <t>VG7 excl. BH excl. DB</t>
  </si>
  <si>
    <t>VG7 excl. BHincl. DB</t>
  </si>
  <si>
    <t>VG7 incl. BH excl. DB</t>
  </si>
  <si>
    <t>VG7 incl. BHincl. DB</t>
  </si>
  <si>
    <t>VG8 Excl. BH excl. DB</t>
  </si>
  <si>
    <t>VG8 Excl. BHincl. DB</t>
  </si>
  <si>
    <t>VG8 Incl. BH excl. DB</t>
  </si>
  <si>
    <t>VG8 Incl. BHincl. DB</t>
  </si>
  <si>
    <t>LVG1 incl. BHincl. DB</t>
  </si>
  <si>
    <t>LVG2 incl. BHincl. DB</t>
  </si>
  <si>
    <t>LVG3 incl. BHincl. DB</t>
  </si>
  <si>
    <t>LVG4 incl. BHincl. DB</t>
  </si>
  <si>
    <t>LVG5 incl. BHincl. DB</t>
  </si>
  <si>
    <t>SGLVG1 incl. BHincl. DB</t>
  </si>
  <si>
    <t>VPT VV1 excl. BHincl. DB</t>
  </si>
  <si>
    <t>VPT VV2 excl. BHincl. DB</t>
  </si>
  <si>
    <t>VPT VV3 excl. BHincl. DB</t>
  </si>
  <si>
    <t>VPT VV3 incl. BHincl. DB</t>
  </si>
  <si>
    <t>VPT VV4 excl. BHincl. DB</t>
  </si>
  <si>
    <t>VPT VV4 incl. BHincl. DB</t>
  </si>
  <si>
    <t>VPT VV5 excl. BHincl. DB</t>
  </si>
  <si>
    <t>VPT VV5 incl. BHincl. DB</t>
  </si>
  <si>
    <t>VPT VV6 excl. BHincl. DB</t>
  </si>
  <si>
    <t>VPT VV6 incl. BHincl. DB</t>
  </si>
  <si>
    <t>VPT VV7 excl. BHincl. DB</t>
  </si>
  <si>
    <t>VPT VV7 incl. BHincl. DB</t>
  </si>
  <si>
    <t>VPT VV8 excl. BHincl. DB</t>
  </si>
  <si>
    <t>VPT VV8 incl. BHincl. DB</t>
  </si>
  <si>
    <t>VPT VV9b excl. BHincl. DB</t>
  </si>
  <si>
    <t>VPT VV9b incl. BHincl. DB</t>
  </si>
  <si>
    <t>VPT VV10 excl. BHincl. DB</t>
  </si>
  <si>
    <t>VPT VV10 incl. BHincl. DB</t>
  </si>
  <si>
    <t>VPT VG1 excl. BH excl. DB</t>
  </si>
  <si>
    <t>VPT VG1 excl. BHincl. DB</t>
  </si>
  <si>
    <t>VPT VG2 excl. BH excl. DB</t>
  </si>
  <si>
    <t>VPT VG2 excl. BHincl. DB</t>
  </si>
  <si>
    <t>VPT VG3 excl. BH excl. DB</t>
  </si>
  <si>
    <t>VPT VG3 excl. BHincl. DB</t>
  </si>
  <si>
    <t>VPT VG3 incl. BH excl. DB</t>
  </si>
  <si>
    <t>VPT VG3 incl. BHincl. DB</t>
  </si>
  <si>
    <t>VPT VG4 excl. BH excl. DB</t>
  </si>
  <si>
    <t>VPT VG4 excl. BHincl. DB</t>
  </si>
  <si>
    <t>VPT VG4 incl. BH excl. DB</t>
  </si>
  <si>
    <t>VPT VG4 incl. BHincl. DB</t>
  </si>
  <si>
    <t>VPT VG5 excl. BH excl. DB</t>
  </si>
  <si>
    <t>VPT VG5 excl. BHincl. DB</t>
  </si>
  <si>
    <t>VPT VG5 incl. BH excl. DB</t>
  </si>
  <si>
    <t>VPT VG5 incl. BHincl. DB</t>
  </si>
  <si>
    <t>VPT VG6 excl. BH excl. DB</t>
  </si>
  <si>
    <t>VPT VG6 excl. BHincl. DB</t>
  </si>
  <si>
    <t>VPT VG6 incl. BH excl. DB</t>
  </si>
  <si>
    <t>VPT VG6 incl. BHincl. DB</t>
  </si>
  <si>
    <t>VPT VG7 excl. BH excl. DB</t>
  </si>
  <si>
    <t>VPT VG7 excl. BHincl. DB</t>
  </si>
  <si>
    <t>VPT VG7 incl. BH excl. DB</t>
  </si>
  <si>
    <t>VPT VG7 incl. BHincl. DB</t>
  </si>
  <si>
    <t>VPT VG8 excl. BH excl. DB</t>
  </si>
  <si>
    <t>VPT VG8 excl. BHincl. DB</t>
  </si>
  <si>
    <t>VPT VG8 incl. BH excl. DB</t>
  </si>
  <si>
    <t>VPT VG8 incl. BHincl. DB</t>
  </si>
  <si>
    <t>VPT LVG1 incl. BHincl. DB</t>
  </si>
  <si>
    <t>VPT LVG2 incl. BHincl. DB</t>
  </si>
  <si>
    <t>VPT LVG3 incl. BHincl. DB</t>
  </si>
  <si>
    <t>VPT LVG4 incl. BHincl. DB</t>
  </si>
  <si>
    <t>VPT LVG5 incl. BHincl. DB</t>
  </si>
  <si>
    <t>VPT SGLVG1 incl. BHincl. DB</t>
  </si>
  <si>
    <t>GGZ7B incl.BH excl.DB</t>
  </si>
  <si>
    <t>GGZ7B incl.BH incl.DB</t>
  </si>
  <si>
    <t>Deze kolom gebruiken voor zoeken op prestatie ZZP</t>
  </si>
  <si>
    <t>3VV excl.BH incl.DB</t>
  </si>
  <si>
    <t>3VV incl.BH incl.DB</t>
  </si>
  <si>
    <t>4VV excl.BH incl.DB</t>
  </si>
  <si>
    <t>4VV incl.BH incl.DB</t>
  </si>
  <si>
    <t>5VV excl.BH incl.DB</t>
  </si>
  <si>
    <t>5VV incl.BH incl.DB</t>
  </si>
  <si>
    <t>6VV excl.BH incl.DB</t>
  </si>
  <si>
    <t>6VV incl.BH incl.DB</t>
  </si>
  <si>
    <t>7VV excl.BH incl.DB</t>
  </si>
  <si>
    <t>7VV incl.BH incl.DB</t>
  </si>
  <si>
    <t>VPT 7VV excl.BH incl.DB</t>
  </si>
  <si>
    <t>VPT 7VV incl.BH incl.DB</t>
  </si>
  <si>
    <t>8VV excl.BH incl.DB</t>
  </si>
  <si>
    <t>8VV incl.BH incl.DB</t>
  </si>
  <si>
    <t>VPT 8VV excl.BH incl.DB</t>
  </si>
  <si>
    <t>VPT 8VV incl.BH incl.DB</t>
  </si>
  <si>
    <t>9VVb excl.BH incl.DB</t>
  </si>
  <si>
    <t>9VVb incl.BH incl.DB</t>
  </si>
  <si>
    <t>VPT 9VVb excl.BH incl.DB</t>
  </si>
  <si>
    <t>VPT 9VVb incl.BH incl.DB</t>
  </si>
  <si>
    <t>10VV excl.BH incl.DB</t>
  </si>
  <si>
    <t>10VV incl.BH incl.DB</t>
  </si>
  <si>
    <t>VPT 10VV excl.BH incl.DB</t>
  </si>
  <si>
    <t>VPT 10VV incl.BH incl.DB</t>
  </si>
  <si>
    <t>1GGZB incl.BH excl.DB</t>
  </si>
  <si>
    <t>1GGZB incl.BH incl.DB</t>
  </si>
  <si>
    <t>2GGZB incl.BH excl.DB</t>
  </si>
  <si>
    <t>2GGZB incl.BH incl.DB</t>
  </si>
  <si>
    <t>3GGZB incl.BH excl.DB</t>
  </si>
  <si>
    <t>3GGZB incl.BH incl.DB</t>
  </si>
  <si>
    <t>4GGZB incl.BH excl.DB</t>
  </si>
  <si>
    <t>4GGZB incl.BH incl.DB</t>
  </si>
  <si>
    <t>5GGZB incl.BH excl.DB</t>
  </si>
  <si>
    <t>5GGZB incl.BH incl.DB</t>
  </si>
  <si>
    <t>6GGZB incl.BH excl.DB</t>
  </si>
  <si>
    <t>6GGZB incl.BH incl.DB</t>
  </si>
  <si>
    <t>1VG excl.BH excl.DB</t>
  </si>
  <si>
    <t>1VG excl.BH incl.DB</t>
  </si>
  <si>
    <t>VPT 1VG excl.BH excl.DB</t>
  </si>
  <si>
    <t>VPT 1VG excl.BH incl.DB</t>
  </si>
  <si>
    <t>2VG excl.BH excl.DB</t>
  </si>
  <si>
    <t>2VG excl.BH incl.DB</t>
  </si>
  <si>
    <t>VPT 2VG excl.BH excl.DB</t>
  </si>
  <si>
    <t>VPT 2VG excl.BH incl.DB</t>
  </si>
  <si>
    <t>1LVG incl.BH incl.DB</t>
  </si>
  <si>
    <t>VPT 1LVG incl.BH incl.DB</t>
  </si>
  <si>
    <t>VPT SG1LVG incl.BH incl.DB</t>
  </si>
  <si>
    <t>2LVG incl.BH incl.DB</t>
  </si>
  <si>
    <t>VPT 2LVG incl.BH incl.DB</t>
  </si>
  <si>
    <t>3LVG incl.BH incl.DB</t>
  </si>
  <si>
    <t>VPT 3LVG incl.BH incl.DB</t>
  </si>
  <si>
    <t>4LVG incl.BH incl.DB</t>
  </si>
  <si>
    <t>VPT 4LVG incl.BH incl.DB</t>
  </si>
  <si>
    <t>5LVG incl.BH incl.DB</t>
  </si>
  <si>
    <t>VPT 5LVG incl.BH incl.DB</t>
  </si>
  <si>
    <t>1SGLVG incl.BH incl.DB</t>
  </si>
  <si>
    <t>3VG excl.BH excl.DB</t>
  </si>
  <si>
    <t>3VG excl.BH incl.DB</t>
  </si>
  <si>
    <t>3VG incl.BH excl.DB</t>
  </si>
  <si>
    <t>3VG incl.BH incl.DB</t>
  </si>
  <si>
    <t>VPT 3VG excl.BH excl.DB</t>
  </si>
  <si>
    <t>VPT 3VG excl.BH incl.DB</t>
  </si>
  <si>
    <t>VPT 3VG incl.BH excl.DB</t>
  </si>
  <si>
    <t>VPT 3VG incl.BH incl.DB</t>
  </si>
  <si>
    <t>Dagbesteding VG-licht (1VG-4VG) H900</t>
  </si>
  <si>
    <t>4VG excl.BH excl.DB</t>
  </si>
  <si>
    <t>4VG excl.BH incl.DB</t>
  </si>
  <si>
    <t>4VG incl.BH excl.DB</t>
  </si>
  <si>
    <t>4VG incl.BH incl.DB</t>
  </si>
  <si>
    <t>VPT 4VG excl.BH excl.DB</t>
  </si>
  <si>
    <t>VPT 4VG excl.BH incl.DB</t>
  </si>
  <si>
    <t>VPT 4VG incl.BH excl.DB</t>
  </si>
  <si>
    <t>VPT 4VG incl.BH incl.DB</t>
  </si>
  <si>
    <t>5VG excl.BH excl.DB</t>
  </si>
  <si>
    <t>5VG excl.BH incl.DB</t>
  </si>
  <si>
    <t>5VG incl.BH excl.DB</t>
  </si>
  <si>
    <t>5VG incl.BH incl.DB</t>
  </si>
  <si>
    <t>VPT 5VG excl.BH excl.DB</t>
  </si>
  <si>
    <t>VPT 5VG excl.BH incl.DB</t>
  </si>
  <si>
    <t>VPT 5VG incl.BH excl.DB</t>
  </si>
  <si>
    <t>VPT 5VG incl.BH incl.DB</t>
  </si>
  <si>
    <t>Dagbesteding VG-midden (5VG, 6VG) H901</t>
  </si>
  <si>
    <t>6VG excl.BH excl.DB</t>
  </si>
  <si>
    <t>6VG excl.BH incl.DB</t>
  </si>
  <si>
    <t>6VG incl.BH excl.DB</t>
  </si>
  <si>
    <t>6VG incl.BH incl.DB</t>
  </si>
  <si>
    <t>VPT 6VG excl.BH excl.DB</t>
  </si>
  <si>
    <t>VPT 6VG excl.BH incl.DB</t>
  </si>
  <si>
    <t>VPT 6VG incl.BH excl.DB</t>
  </si>
  <si>
    <t>VPT 6VG incl.BH incl.DB</t>
  </si>
  <si>
    <t>Dagbesteding VG-zwaar (7VG) H902</t>
  </si>
  <si>
    <t>7VG excl.BH excl.DB</t>
  </si>
  <si>
    <t>7VG excl.BH incl.DB</t>
  </si>
  <si>
    <t>7VG incl.BH excl.DB</t>
  </si>
  <si>
    <t>7VG incl.BH incl.DB</t>
  </si>
  <si>
    <t>VPT 7VG excl.BH excl.DB</t>
  </si>
  <si>
    <t>VPT 7VG excl.BH incl.DB</t>
  </si>
  <si>
    <t>VPT 7VG incl.BH excl.DB</t>
  </si>
  <si>
    <t>VPT 7VG incl.BH incl.DB</t>
  </si>
  <si>
    <t>Toeslag kind dagbesteding 5VG/8VG midden emg H942</t>
  </si>
  <si>
    <t>8VG excl.BH excl.DB</t>
  </si>
  <si>
    <t>8VG excl.BH incl.DB</t>
  </si>
  <si>
    <t>8VG incl.BH excl.DB</t>
  </si>
  <si>
    <t>8VG incl.BH incl.DB</t>
  </si>
  <si>
    <t>VPT 8VG excl.BH excl.DB</t>
  </si>
  <si>
    <t>VPT 8VG excl.BH incl.DB</t>
  </si>
  <si>
    <t>VPT 8VG incl.BH excl.DB</t>
  </si>
  <si>
    <t>VPT 8VG incl.BH incl.DB</t>
  </si>
  <si>
    <t>1LG excl. DB Z614</t>
  </si>
  <si>
    <t>1LG excl. DB</t>
  </si>
  <si>
    <t>1LG excl.BH excl.DB</t>
  </si>
  <si>
    <t>1LG incl. DB Z615</t>
  </si>
  <si>
    <t>1LGincl. DB</t>
  </si>
  <si>
    <t>1LG excl.BH incl.DB</t>
  </si>
  <si>
    <t>VPT 1LG excl. BH excl. DB V614</t>
  </si>
  <si>
    <t>VPT 1LG excl. BH excl. DB</t>
  </si>
  <si>
    <t>VPT 1LG excl.BH excl.DB</t>
  </si>
  <si>
    <t>VPT 1LG excl. BH incl. DB V615</t>
  </si>
  <si>
    <t>VPT 1LG excl. BHincl. DB</t>
  </si>
  <si>
    <t>VPT 1LG excl.BH incl.DB</t>
  </si>
  <si>
    <t>2LG excl. DB Z624</t>
  </si>
  <si>
    <t>2LG excl. DB</t>
  </si>
  <si>
    <t>2LG  excl.BH excl.DB</t>
  </si>
  <si>
    <t>2LG incl. DB Z625</t>
  </si>
  <si>
    <t>2LGincl. DB</t>
  </si>
  <si>
    <t>2LG  excl.BH incl.DB</t>
  </si>
  <si>
    <t>VPT 2LG excl. BH excl. DB V624</t>
  </si>
  <si>
    <t>VPT 2LG excl. BH excl. DB</t>
  </si>
  <si>
    <t>VPT 2LG excl.BH excl.DB</t>
  </si>
  <si>
    <t>VPT 2LG excl. BH incl. DB V625</t>
  </si>
  <si>
    <t>VPT 2LG excl. BHincl. DB</t>
  </si>
  <si>
    <t>VPT 2LG excl.BH incl.DB</t>
  </si>
  <si>
    <t>3LG excl. BH excl. DB Z630</t>
  </si>
  <si>
    <t>3LG excl. BH excl. DB</t>
  </si>
  <si>
    <t>3LG excl.BH excl.DB</t>
  </si>
  <si>
    <t>3LG excl. BH incl. DB Z631</t>
  </si>
  <si>
    <t>3LG excl. BHincl. DB</t>
  </si>
  <si>
    <t>3LG excl.BH incl.DB</t>
  </si>
  <si>
    <t>3LG incl. BH excl. DB Z632</t>
  </si>
  <si>
    <t>3LG incl. BH excl. DB</t>
  </si>
  <si>
    <t>3LG incl.BH excl.DB</t>
  </si>
  <si>
    <t>3LG incl. BH incl. DB Z633</t>
  </si>
  <si>
    <t>3LG incl. BHincl. DB</t>
  </si>
  <si>
    <t>3LG incl.BH incl.DB</t>
  </si>
  <si>
    <t>VPT 3LG excl. BH excl. DB V630</t>
  </si>
  <si>
    <t>VPT 3LG excl. BH excl. DB</t>
  </si>
  <si>
    <t>VPT 3LG excl.BH excl.DB</t>
  </si>
  <si>
    <t>VPT 3LG excl. BH incl. DB V631</t>
  </si>
  <si>
    <t>VPT 3LG excl. BHincl. DB</t>
  </si>
  <si>
    <t>VPT 3LG excl.BH incl.DB</t>
  </si>
  <si>
    <t>VPT 3LG incl. BH excl. DB V632</t>
  </si>
  <si>
    <t>VPT 3LG incl. BH excl. DB</t>
  </si>
  <si>
    <t>VPT 3LG incl.BH excl.DB</t>
  </si>
  <si>
    <t>VPT 3LG incl. BH incl. DB V633</t>
  </si>
  <si>
    <t>VPT 3LG incl. BHincl. DB</t>
  </si>
  <si>
    <t>VPT 3LG incl.BH incl.DB</t>
  </si>
  <si>
    <t>4LG excl. BH excl. DB Z640</t>
  </si>
  <si>
    <t>4LG excl. BH excl. DB</t>
  </si>
  <si>
    <t>4LG excl.BH excl.DB</t>
  </si>
  <si>
    <t>4LG excl. BH incl. DB Z641</t>
  </si>
  <si>
    <t>4LG excl. BHincl. DB</t>
  </si>
  <si>
    <t>4LG excl.BH incl.DB</t>
  </si>
  <si>
    <t>4LG incl. BH excl. DB Z642</t>
  </si>
  <si>
    <t>4LG incl. BH excl. DB</t>
  </si>
  <si>
    <t>4LG incl.BH excl.DB</t>
  </si>
  <si>
    <t>4LG incl. BH incl. DB Z643</t>
  </si>
  <si>
    <t>4LG incl. BHincl. DB</t>
  </si>
  <si>
    <t>4LG incl.BH incl.DB</t>
  </si>
  <si>
    <t>VPT 4LG excl. BH excl. DB V640</t>
  </si>
  <si>
    <t>VPT 4LG excl. BH excl. DB</t>
  </si>
  <si>
    <t>VPT 4LG excl.BH excl.DB</t>
  </si>
  <si>
    <t>VPT 4LG excl. BH incl. DB V641</t>
  </si>
  <si>
    <t>VPT 4LG excl. BHincl. DB</t>
  </si>
  <si>
    <t>VPT 4LG excl.BH incl.DB</t>
  </si>
  <si>
    <t>VPT 4LG incl. BH excl. DB V642</t>
  </si>
  <si>
    <t>VPT 4LG incl. BH excl. DB</t>
  </si>
  <si>
    <t>VPT 4LG incl.BH excl.DB</t>
  </si>
  <si>
    <t>VPT 4LG incl. BH incl. DB V643</t>
  </si>
  <si>
    <t>VPT 4LG incl. BHincl. DB</t>
  </si>
  <si>
    <t>VPT 4LG incl.BH incl.DB</t>
  </si>
  <si>
    <t>Dagbesteding LG-zwaar (1LG,3LG,5LG) H912</t>
  </si>
  <si>
    <t>5LG excl. BH excl. DB Z650</t>
  </si>
  <si>
    <t>5LG excl. BH excl. DB</t>
  </si>
  <si>
    <t>5LG excl.BH excl.DB</t>
  </si>
  <si>
    <t>5LG excl. BH incl. DB Z651</t>
  </si>
  <si>
    <t>5LG excl. BHincl. DB</t>
  </si>
  <si>
    <t>5LG excl.BH incl.DB</t>
  </si>
  <si>
    <t>5LG incl. BH excl. DB Z652</t>
  </si>
  <si>
    <t>5LG incl. BH excl. DB</t>
  </si>
  <si>
    <t>5LG incl.BH excl.DB</t>
  </si>
  <si>
    <t>5LG incl. BH incl. DB Z653</t>
  </si>
  <si>
    <t>5LG incl. BHincl. DB</t>
  </si>
  <si>
    <t>5LG incl.BH incl.DB</t>
  </si>
  <si>
    <t>VPT 5LG excl. BH excl. DB V650</t>
  </si>
  <si>
    <t>VPT 5LG excl. BH excl. DB</t>
  </si>
  <si>
    <t>VPT 5LG excl.BH excl.DB</t>
  </si>
  <si>
    <t>VPT 5LG excl. BH incl. DB V651</t>
  </si>
  <si>
    <t>VPT 5LG excl. BHincl. DB</t>
  </si>
  <si>
    <t>VPT 5LG excl.BH incl.DB</t>
  </si>
  <si>
    <t>VPT 5LG incl. BH excl. DB V652</t>
  </si>
  <si>
    <t>VPT 5LG incl. BH excl. DB</t>
  </si>
  <si>
    <t>VPT 5LG incl.BH excl.DB</t>
  </si>
  <si>
    <t>VPT 5LG incl. BH incl. DB V653</t>
  </si>
  <si>
    <t>VPT 5LG incl. BHincl. DB</t>
  </si>
  <si>
    <t>VPT 5LG incl.BH incl.DB</t>
  </si>
  <si>
    <t>Dagbesteding LG-midden (2LG,4LG,6LG) H911</t>
  </si>
  <si>
    <t>6LG excl. BH excl. DB Z660</t>
  </si>
  <si>
    <t>6LG excl. BH excl. DB</t>
  </si>
  <si>
    <t>6LG excl.BH excl.DB</t>
  </si>
  <si>
    <t>6LG excl. BH incl. DB Z661</t>
  </si>
  <si>
    <t>6LG excl. BHincl. DB</t>
  </si>
  <si>
    <t>6LG excl.BH incl.DB</t>
  </si>
  <si>
    <t>6LG incl. BH excl. DB Z662</t>
  </si>
  <si>
    <t>6LG incl. BH excl. DB</t>
  </si>
  <si>
    <t>6LG incl.BH excl.DB</t>
  </si>
  <si>
    <t>6LG incl. BH incl. DB Z663</t>
  </si>
  <si>
    <t>6LG incl. BHincl. DB</t>
  </si>
  <si>
    <t>6LG incl.BH incl.DB</t>
  </si>
  <si>
    <t>VPT 6LG excl. BH excl. DB V660</t>
  </si>
  <si>
    <t>VPT 6LG excl. BH excl. DB</t>
  </si>
  <si>
    <t>VPT 6LG excl.BH excl.DB</t>
  </si>
  <si>
    <t>VPT 6LG excl. BH incl. DB V661</t>
  </si>
  <si>
    <t>VPT 6LG excl. BHincl. DB</t>
  </si>
  <si>
    <t>VPT 6LG excl.BH incl.DB</t>
  </si>
  <si>
    <t>VPT 6LG incl. BH excl. DB V662</t>
  </si>
  <si>
    <t>VPT 6LG incl. BH excl. DB</t>
  </si>
  <si>
    <t>VPT 6LG incl.BH excl.DB</t>
  </si>
  <si>
    <t>VPT 6LG incl. BH incl. DB V663</t>
  </si>
  <si>
    <t>VPT 6LG incl. BHincl. DB</t>
  </si>
  <si>
    <t>VPT 6LG incl.BH incl.DB</t>
  </si>
  <si>
    <t>Dagbesteding LG-licht (7LG) H910</t>
  </si>
  <si>
    <t>7LG excl. BH excl. DB Z670</t>
  </si>
  <si>
    <t>7LG excl. BH excl. DB</t>
  </si>
  <si>
    <t>7LG excl.BH excl.DB</t>
  </si>
  <si>
    <t>7LG excl. BH incl. DB Z671</t>
  </si>
  <si>
    <t>7LG excl. BHincl. DB</t>
  </si>
  <si>
    <t>7LG excl.BH incl.DB</t>
  </si>
  <si>
    <t>7LG incl. BH excl. DB Z672</t>
  </si>
  <si>
    <t>7LG incl. BH excl. DB</t>
  </si>
  <si>
    <t>7LG incl.BH excl.DB</t>
  </si>
  <si>
    <t>7LG incl. BH incl. DB Z673</t>
  </si>
  <si>
    <t>7LG incl. BHincl. DB</t>
  </si>
  <si>
    <t>7LG incl.BH incl.DB</t>
  </si>
  <si>
    <t>VPT 7LG excl. BH excl. DB V670</t>
  </si>
  <si>
    <t>VPT 7LG excl. BH excl. DB</t>
  </si>
  <si>
    <t>VPT 7LG excl.BH excl.DB</t>
  </si>
  <si>
    <t>VPT 7LG excl. BH incl. DB V671</t>
  </si>
  <si>
    <t>VPT 7LG excl. BHincl. DB</t>
  </si>
  <si>
    <t>VPT 7LG excl.BH incl.DB</t>
  </si>
  <si>
    <t>VPT 7LG incl. BH excl. DB V672</t>
  </si>
  <si>
    <t>VPT 7LG incl. BH excl. DB</t>
  </si>
  <si>
    <t>VPT 7LG incl.BH excl.DB</t>
  </si>
  <si>
    <t>VPT 7LG incl. BH incl. DB V673</t>
  </si>
  <si>
    <t>VPT 7LG incl. BHincl. DB</t>
  </si>
  <si>
    <t>VPT 7LG incl.BH incl.DB</t>
  </si>
  <si>
    <t>1ZGaud excl. BH excl. DB Z710</t>
  </si>
  <si>
    <t>1ZGaud excl. BH excl. DB</t>
  </si>
  <si>
    <t>1ZGaud excl.BH excl.DB</t>
  </si>
  <si>
    <t>1ZGaud excl. BH incl. DB Z711</t>
  </si>
  <si>
    <t>1ZGaud excl. BHincl. DB</t>
  </si>
  <si>
    <t>1ZGaud excl.BH incl.DB</t>
  </si>
  <si>
    <t>1ZGaud incl. BH excl. DB Z712</t>
  </si>
  <si>
    <t>1ZGaud incl. BH excl. DB</t>
  </si>
  <si>
    <t>1ZGaud incl.BH excl.DB</t>
  </si>
  <si>
    <t>1ZGaud incl. BH incl. DB Z713</t>
  </si>
  <si>
    <t>1ZGaud incl. BHincl. DB</t>
  </si>
  <si>
    <t>1ZGaud incl.BH incl.DB</t>
  </si>
  <si>
    <t>VPT 1ZGaud excl. BH excl. DB V710</t>
  </si>
  <si>
    <t>VPT 1ZGaud excl. BH excl. DB</t>
  </si>
  <si>
    <t>VPT 1ZGaud excl.BH excl.DB</t>
  </si>
  <si>
    <t>VPT 1ZGaud excl. BH incl. DB V711</t>
  </si>
  <si>
    <t>VPT 1ZGaud excl. BHincl. DB</t>
  </si>
  <si>
    <t>VPT 1ZGaud excl.BH incl.DB</t>
  </si>
  <si>
    <t>VPT 1ZGaud incl. BH excl. DB V712</t>
  </si>
  <si>
    <t>VPT 1ZGaud incl. BH excl. DB</t>
  </si>
  <si>
    <t>VPT 1ZGaud incl.BH excl.DB</t>
  </si>
  <si>
    <t>VPT 1ZGaud incl. BH incl. DB V713</t>
  </si>
  <si>
    <t>VPT 1ZGaud incl. BHincl. DB</t>
  </si>
  <si>
    <t>VPT 1ZGaud incl.BH incl.DB</t>
  </si>
  <si>
    <t>2ZGaud excl. BH excl. DB Z720</t>
  </si>
  <si>
    <t>2ZGaud excl. BH excl. DB</t>
  </si>
  <si>
    <t>2ZGaud excl.BH excl.DB</t>
  </si>
  <si>
    <t>2ZGaud excl. BH incl. DB Z721</t>
  </si>
  <si>
    <t>2ZGaud excl. BHincl. DB</t>
  </si>
  <si>
    <t>2ZGaud excl.BH incl.DB</t>
  </si>
  <si>
    <t>2ZGaud incl. BH excl. DB Z722</t>
  </si>
  <si>
    <t>2ZGaud incl. BH excl. DB</t>
  </si>
  <si>
    <t>2ZGaud incl.BH excl.DB</t>
  </si>
  <si>
    <t>2ZGaud incl. BH incl. DB Z723</t>
  </si>
  <si>
    <t>2ZGaud incl. BHincl. DB</t>
  </si>
  <si>
    <t>2ZGaud incl.BH incl.DB</t>
  </si>
  <si>
    <t>VPT 2ZGaud excl. BH excl. DB V720</t>
  </si>
  <si>
    <t>VPT 2ZGaud excl. BH excl. DB</t>
  </si>
  <si>
    <t>VPT 2ZGaud excl.BH excl.DB</t>
  </si>
  <si>
    <t>VPT 2ZGaud excl. BH incl. DB V721</t>
  </si>
  <si>
    <t>VPT 2ZGaud excl. BHincl. DB</t>
  </si>
  <si>
    <t>VPT 2ZGaud excl.BH incl.DB</t>
  </si>
  <si>
    <t>VPT 2ZGaud incl. BH excl. DB V722</t>
  </si>
  <si>
    <t>VPT 2ZGaud incl. BH excl. DB</t>
  </si>
  <si>
    <t>VPT 2ZGaud incl.BH excl.DB</t>
  </si>
  <si>
    <t>VPT 2ZGaud incl. BH incl. DB V723</t>
  </si>
  <si>
    <t>VPT 2ZGaud incl. BHincl. DB</t>
  </si>
  <si>
    <t>VPT 2ZGaud incl.BH incl.DB</t>
  </si>
  <si>
    <t>3ZGaud excl. BH excl. DB Z730</t>
  </si>
  <si>
    <t>3ZGaud excl. BH excl. DB</t>
  </si>
  <si>
    <t>3ZGaud excl.BH excl.DB</t>
  </si>
  <si>
    <t>3ZGaud excl. BH incl. DB Z731</t>
  </si>
  <si>
    <t>3ZGaud excl. BHincl. DB</t>
  </si>
  <si>
    <t>3ZGaud excl.BH incl.DB</t>
  </si>
  <si>
    <t>3ZGaud incl. BH excl. DB Z732</t>
  </si>
  <si>
    <t>3ZGaud incl. BH excl. DB</t>
  </si>
  <si>
    <t>3ZGaud incl.BH excl.DB</t>
  </si>
  <si>
    <t>3ZGaud incl. BH incl. DB Z733</t>
  </si>
  <si>
    <t>3ZGaud incl. BHincl. DB</t>
  </si>
  <si>
    <t>3ZGaud incl.BH incl.DB</t>
  </si>
  <si>
    <t>VPT 3ZGaud excl. BH excl. DB V730</t>
  </si>
  <si>
    <t>VPT 3ZGaud excl. BH excl. DB</t>
  </si>
  <si>
    <t>VPT 3ZGaud excl.BH excl.DB</t>
  </si>
  <si>
    <t>VPT 3ZGaud excl. BH incl. DB V731</t>
  </si>
  <si>
    <t>VPT 3ZGaud excl. BHincl. DB</t>
  </si>
  <si>
    <t>VPT 3ZGaud excl.BH incl.DB</t>
  </si>
  <si>
    <t>VPT 3ZGaud incl. BH excl. DB V732</t>
  </si>
  <si>
    <t>VPT 3ZGaud incl. BH excl. DB</t>
  </si>
  <si>
    <t>VPT 3ZGaud incl.BH excl.DB</t>
  </si>
  <si>
    <t>VPT 3ZGaud incl. BH incl. DB V733</t>
  </si>
  <si>
    <t>VPT 3ZGaud incl. BHincl. DB</t>
  </si>
  <si>
    <t>VPT 3ZGaud incl.BH incl.DB</t>
  </si>
  <si>
    <t>4ZGaud excl. BH excl. DB Z740</t>
  </si>
  <si>
    <t>4ZGaud excl. BH excl. DB</t>
  </si>
  <si>
    <t>4ZGaud excl.BH excl.DB</t>
  </si>
  <si>
    <t>4ZGaud excl. BH incl. DB Z741</t>
  </si>
  <si>
    <t>4ZGaud excl. BHincl. DB</t>
  </si>
  <si>
    <t>4ZGaud excl.BH incl.DB</t>
  </si>
  <si>
    <t>4ZGaud incl. BH excl. DB Z742</t>
  </si>
  <si>
    <t>4ZGaud incl. BH excl. DB</t>
  </si>
  <si>
    <t>4ZGaud incl.BH excl.DB</t>
  </si>
  <si>
    <t>4ZGaud incl. BH incl. DB Z743</t>
  </si>
  <si>
    <t>4ZGaud incl. BHincl. DB</t>
  </si>
  <si>
    <t>4ZGaud incl.BH incl.DB</t>
  </si>
  <si>
    <t>VPT 4ZGaud excl. BH excl. DB V740</t>
  </si>
  <si>
    <t>VPT 4ZGaud excl. BH excl. DB</t>
  </si>
  <si>
    <t>VPT 4ZGaud excl.BH excl.DB</t>
  </si>
  <si>
    <t>VPT 4ZGaud excl. BH incl. DB V741</t>
  </si>
  <si>
    <t>VPT 4ZGaud excl. BHincl. DB</t>
  </si>
  <si>
    <t>VPT 4ZGaud excl.BH incl.DB</t>
  </si>
  <si>
    <t>VPT 4ZGaud incl. BH excl. DB V742</t>
  </si>
  <si>
    <t>VPT 4ZGaud incl. BH excl. DB</t>
  </si>
  <si>
    <t>VPT 4ZGaud incl.BH excl.DB</t>
  </si>
  <si>
    <t>VPT 4ZGaud incl. BH incl. DB V743</t>
  </si>
  <si>
    <t>VPT 4ZGaud incl. BHincl. DB</t>
  </si>
  <si>
    <t>VPT 4ZGaud incl.BH incl.DB</t>
  </si>
  <si>
    <t>1ZGvis excl. BH excl. DB Z814</t>
  </si>
  <si>
    <t>1ZGvis excl. BH excl. DB</t>
  </si>
  <si>
    <t>1ZGvis excl.BH excl.DB</t>
  </si>
  <si>
    <t>1ZGvis excl. BH incl. DB Z815</t>
  </si>
  <si>
    <t>1ZGvis excl. BHincl. DB</t>
  </si>
  <si>
    <t>1ZGvis excl.BH incl.DB</t>
  </si>
  <si>
    <t>VPT 1ZGvis excl. BH excl. DB V814</t>
  </si>
  <si>
    <t>VPT 1ZGvis excl. BH excl. DB</t>
  </si>
  <si>
    <t>VPT 1ZGvis excl.BH excl.DB</t>
  </si>
  <si>
    <t>VPT 1ZGvis excl. BH incl. DB V815</t>
  </si>
  <si>
    <t>VPT 1ZGvis excl. BHincl. DB</t>
  </si>
  <si>
    <t>VPT 1ZGvis excl.BH incl.DB</t>
  </si>
  <si>
    <t>2ZGvis excl. BH excl. DB Z824</t>
  </si>
  <si>
    <t>2ZGvis excl. BH excl. DB</t>
  </si>
  <si>
    <t>2ZGvis excl.BH excl.DB</t>
  </si>
  <si>
    <t>2ZGvis excl. BH incl. DB Z825</t>
  </si>
  <si>
    <t>2ZGvis excl. BHincl. DB</t>
  </si>
  <si>
    <t>2ZGvis excl.BH incl.DB</t>
  </si>
  <si>
    <t>VPT 2ZGvis excl. BH excl. DB V824</t>
  </si>
  <si>
    <t>VPT 2ZGvis excl. BH excl. DB</t>
  </si>
  <si>
    <t>VPT 2ZGvis excl.BH excl.DB</t>
  </si>
  <si>
    <t>VPT 2ZGvis excl. BH incl. DB V825</t>
  </si>
  <si>
    <t>VPT 2ZGvis excl. BHincl. DB</t>
  </si>
  <si>
    <t>VPT 2ZGvis excl.BH incl.DB</t>
  </si>
  <si>
    <t>3ZGvis excl. BH excl. DB Z830</t>
  </si>
  <si>
    <t>3ZGvis excl. BH excl. DB</t>
  </si>
  <si>
    <t>3ZGvis excl.BH excl.DB</t>
  </si>
  <si>
    <t>3ZGvis excl. BH incl. DB Z831</t>
  </si>
  <si>
    <t>3ZGvis excl. BHincl. DB</t>
  </si>
  <si>
    <t>3ZGvis excl.BH incl.DB</t>
  </si>
  <si>
    <t>3ZGvis incl. BH excl. DB Z832</t>
  </si>
  <si>
    <t>3ZGvis incl. BH excl. DB</t>
  </si>
  <si>
    <t>3ZGvis incl.BH excl.DB</t>
  </si>
  <si>
    <t>3ZGvis incl. BH incl. DB Z833</t>
  </si>
  <si>
    <t>3ZGvis incl. BHincl. DB</t>
  </si>
  <si>
    <t>3ZGvis incl.BH incl.DB</t>
  </si>
  <si>
    <t>VPT 3ZGvis excl. BH excl. DB V830</t>
  </si>
  <si>
    <t>VPT 3ZGvis excl. BH excl. DB</t>
  </si>
  <si>
    <t>VPT 3ZGvis excl.BH excl.DB</t>
  </si>
  <si>
    <t>VPT 3ZGvis excl. BH incl. DB V831</t>
  </si>
  <si>
    <t>VPT 3ZGvis excl. BHincl. DB</t>
  </si>
  <si>
    <t>VPT 3ZGvis excl.BH incl.DB</t>
  </si>
  <si>
    <t>VPT 3ZGvis incl. BH excl. DB V832</t>
  </si>
  <si>
    <t>VPT 3ZGvis incl. BH excl. DB</t>
  </si>
  <si>
    <t>VPT 3ZGvis incl.BH excl.DB</t>
  </si>
  <si>
    <t>VPT 3ZGvis incl. BH incl. DB V833</t>
  </si>
  <si>
    <t>VPT 3ZGvis incl. BHincl. DB</t>
  </si>
  <si>
    <t>VPT 3ZGvis incl.BH incl.DB</t>
  </si>
  <si>
    <t>4ZGvis excl. BH excl. DB Z840</t>
  </si>
  <si>
    <t>4ZGvis excl. BH excl. DB</t>
  </si>
  <si>
    <t>4ZGvis excl.BH excl.DB</t>
  </si>
  <si>
    <t>4ZGvis excl. BH incl. DB Z841</t>
  </si>
  <si>
    <t>4ZGvis excl. BHincl. DB</t>
  </si>
  <si>
    <t>4ZGvis excl.BH incl.DB</t>
  </si>
  <si>
    <t>4ZGvis incl. BH excl. DB Z842</t>
  </si>
  <si>
    <t>4ZGvis incl. BH excl. DB</t>
  </si>
  <si>
    <t>4ZGvis incl.BH excl.DB</t>
  </si>
  <si>
    <t>4ZGvis incl. BH incl. DB Z843</t>
  </si>
  <si>
    <t>4ZGvis incl. BHincl. DB</t>
  </si>
  <si>
    <t>4ZGvis incl.BH incl.DB</t>
  </si>
  <si>
    <t>VPT 4ZGvis excl. BH excl. DB V840</t>
  </si>
  <si>
    <t>VPT 4ZGvis excl. BH excl. DB</t>
  </si>
  <si>
    <t>VPT 4ZGvis excl.BH excl.DB</t>
  </si>
  <si>
    <t>VPT 4ZGvis excl. BH incl. DB V841</t>
  </si>
  <si>
    <t>VPT 4ZGvis excl. BHincl. DB</t>
  </si>
  <si>
    <t>VPT 4ZGvis excl.BH incl.DB</t>
  </si>
  <si>
    <t>VPT 4ZGvis incl. BH excl. DB V842</t>
  </si>
  <si>
    <t>VPT 4ZGvis incl. BH excl. DB</t>
  </si>
  <si>
    <t>VPT 4ZGvis incl.BH excl.DB</t>
  </si>
  <si>
    <t>VPT 4ZGvis incl. BH incl. DB V843</t>
  </si>
  <si>
    <t>VPT 4ZGvis incl. BHincl. DB</t>
  </si>
  <si>
    <t>VPT 4ZGvis incl.BH incl.DB</t>
  </si>
  <si>
    <t>5ZGvis excl. BH excl. DB Z850</t>
  </si>
  <si>
    <t>5ZGvis excl. BH excl. DB</t>
  </si>
  <si>
    <t>5ZGvis excl.BH excl.DB</t>
  </si>
  <si>
    <t>5ZGvis excl. BH incl. DB Z851</t>
  </si>
  <si>
    <t>5ZGvis excl. BHincl. DB</t>
  </si>
  <si>
    <t>5ZGvis excl.BH incl.DB</t>
  </si>
  <si>
    <t>5ZGvis incl. BH excl. DB Z852</t>
  </si>
  <si>
    <t>5ZGvis incl. BH excl. DB</t>
  </si>
  <si>
    <t>5ZGvis incl.BH excl.DB</t>
  </si>
  <si>
    <t>5ZGvis incl. BH incl. DB Z853</t>
  </si>
  <si>
    <t>5ZGvis incl. BHincl. DB</t>
  </si>
  <si>
    <t>5ZGvis incl.BH incl.DB</t>
  </si>
  <si>
    <t>VPT 5ZGvis excl. BH excl. DB V850</t>
  </si>
  <si>
    <t>VPT 5ZGvis excl. BH excl. DB</t>
  </si>
  <si>
    <t>VPT 5ZGvis excl.BH excl.DB</t>
  </si>
  <si>
    <t>VPT 5ZGvis excl. BH incl. DB V851</t>
  </si>
  <si>
    <t>VPT 5ZGvis excl. BHincl. DB</t>
  </si>
  <si>
    <t>VPT 5ZGvis excl.BH incl.DB</t>
  </si>
  <si>
    <t>VPT 5ZGvis incl. BH excl. DB V852</t>
  </si>
  <si>
    <t>VPT 5ZGvis incl. BH excl. DB</t>
  </si>
  <si>
    <t>VPT 5ZGvis incl.BH excl.DB</t>
  </si>
  <si>
    <t>VPT 5ZGvis incl. BH incl. DB V853</t>
  </si>
  <si>
    <t>VPT 5ZGvis incl. BHincl. DB</t>
  </si>
  <si>
    <t>VPT 5ZGvis incl.BH incl.DB</t>
  </si>
  <si>
    <t>relevant</t>
  </si>
  <si>
    <t>nee</t>
  </si>
  <si>
    <t>1VV excl.BH incl.DB</t>
  </si>
  <si>
    <t>2VV excl.BH incl.DB</t>
  </si>
  <si>
    <t>VPT 1VV excl.BH incl.DB</t>
  </si>
  <si>
    <t>VPT 2VV excl.BH incl.DB</t>
  </si>
  <si>
    <t>VPT 3VV excl.BH incl.DB</t>
  </si>
  <si>
    <t>VPT 3VV incl.BH incl.DB</t>
  </si>
  <si>
    <t>VPT 4VV excl.BH incl.DB</t>
  </si>
  <si>
    <t>VPT 4VV incl.BH incl.DB</t>
  </si>
  <si>
    <t>VPT 5VV excl.BH incl.DB</t>
  </si>
  <si>
    <t>VPT 5VV incl.BH incl.DB</t>
  </si>
  <si>
    <t>VPT 6VV excl.BH incl.DB</t>
  </si>
  <si>
    <t>VPT 6VV incl.BH incl.DB</t>
  </si>
  <si>
    <t>ZZP</t>
  </si>
  <si>
    <t>2LG excl.BH excl.DB</t>
  </si>
  <si>
    <t>2LG excl.BH incl.DB</t>
  </si>
  <si>
    <t xml:space="preserve"> </t>
  </si>
  <si>
    <t>BGGRP</t>
  </si>
  <si>
    <t>BH</t>
  </si>
  <si>
    <t>VV1</t>
  </si>
  <si>
    <t>VV2</t>
  </si>
  <si>
    <t>VV3</t>
  </si>
  <si>
    <t>VV4</t>
  </si>
  <si>
    <t>VV5</t>
  </si>
  <si>
    <t>VV6</t>
  </si>
  <si>
    <t>VV7</t>
  </si>
  <si>
    <t>VV8</t>
  </si>
  <si>
    <t>VV9b</t>
  </si>
  <si>
    <t>VV10</t>
  </si>
  <si>
    <t>GGZ1B</t>
  </si>
  <si>
    <t>GGZ2B</t>
  </si>
  <si>
    <t>GGZ3B</t>
  </si>
  <si>
    <t>GGZ4B</t>
  </si>
  <si>
    <t>GGZ5B</t>
  </si>
  <si>
    <t>GGZ6B</t>
  </si>
  <si>
    <t>GGZ7B</t>
  </si>
  <si>
    <t>VG1</t>
  </si>
  <si>
    <t>VG2</t>
  </si>
  <si>
    <t>VG3</t>
  </si>
  <si>
    <t>VG4</t>
  </si>
  <si>
    <t>VG5</t>
  </si>
  <si>
    <t>VG6</t>
  </si>
  <si>
    <t>VG7</t>
  </si>
  <si>
    <t>VG8</t>
  </si>
  <si>
    <t>LVG1</t>
  </si>
  <si>
    <t>LVG2</t>
  </si>
  <si>
    <t>LVG3</t>
  </si>
  <si>
    <t>LVG4</t>
  </si>
  <si>
    <t>LVG5</t>
  </si>
  <si>
    <t>SGLVG1</t>
  </si>
  <si>
    <t>1LG</t>
  </si>
  <si>
    <t>2LG</t>
  </si>
  <si>
    <t>3LG</t>
  </si>
  <si>
    <t>4LG</t>
  </si>
  <si>
    <t>5LG</t>
  </si>
  <si>
    <t>6LG</t>
  </si>
  <si>
    <t>7LG</t>
  </si>
  <si>
    <t>1ZGaud</t>
  </si>
  <si>
    <t>2ZGaud</t>
  </si>
  <si>
    <t>3ZGaud</t>
  </si>
  <si>
    <t>4ZGaud</t>
  </si>
  <si>
    <t>1ZGvis</t>
  </si>
  <si>
    <t>2ZGvis</t>
  </si>
  <si>
    <t>3ZGvis</t>
  </si>
  <si>
    <t>4ZGvis</t>
  </si>
  <si>
    <t>5ZGvis</t>
  </si>
  <si>
    <t>1VV</t>
  </si>
  <si>
    <t>2VV</t>
  </si>
  <si>
    <t>3VV</t>
  </si>
  <si>
    <t>4VV</t>
  </si>
  <si>
    <t>5VV</t>
  </si>
  <si>
    <t>6VV</t>
  </si>
  <si>
    <t>7VV</t>
  </si>
  <si>
    <t>8VV</t>
  </si>
  <si>
    <t>9VVb</t>
  </si>
  <si>
    <t>10VV</t>
  </si>
  <si>
    <t>1GGZB</t>
  </si>
  <si>
    <t>2GGZB</t>
  </si>
  <si>
    <t>3GGZB</t>
  </si>
  <si>
    <t>4GGZB</t>
  </si>
  <si>
    <t>5GGZB</t>
  </si>
  <si>
    <t>6GGZB</t>
  </si>
  <si>
    <t>1VG</t>
  </si>
  <si>
    <t>2VG</t>
  </si>
  <si>
    <t>3VG</t>
  </si>
  <si>
    <t>4VG</t>
  </si>
  <si>
    <t>5VG</t>
  </si>
  <si>
    <t>6VG</t>
  </si>
  <si>
    <t>7VG</t>
  </si>
  <si>
    <t>8VG</t>
  </si>
  <si>
    <t>1LVG</t>
  </si>
  <si>
    <t>2LVG</t>
  </si>
  <si>
    <t>3LVG</t>
  </si>
  <si>
    <t>4LVG</t>
  </si>
  <si>
    <t>5LVG</t>
  </si>
  <si>
    <t>1SGLVG</t>
  </si>
  <si>
    <t>nvt</t>
  </si>
  <si>
    <t>ZZP: BGGRP</t>
  </si>
  <si>
    <t>ZZP: BH</t>
  </si>
  <si>
    <t>ZZP: Max</t>
  </si>
  <si>
    <t>VPT: Maximum tarief</t>
  </si>
  <si>
    <t>VPT: per jaar</t>
  </si>
  <si>
    <t>VPT: BGGRP</t>
  </si>
  <si>
    <t>VPT: Max</t>
  </si>
  <si>
    <t>Beg</t>
  </si>
  <si>
    <t>PV</t>
  </si>
  <si>
    <t xml:space="preserve"> € </t>
  </si>
  <si>
    <t>VP</t>
  </si>
  <si>
    <t>ZZP-</t>
  </si>
  <si>
    <t xml:space="preserve"> Totaal </t>
  </si>
  <si>
    <t>code</t>
  </si>
  <si>
    <t>groep</t>
  </si>
  <si>
    <t>ind</t>
  </si>
  <si>
    <t>ophoging</t>
  </si>
  <si>
    <t>9bVV</t>
  </si>
  <si>
    <t>1GGZ B</t>
  </si>
  <si>
    <t>ja - v</t>
  </si>
  <si>
    <t>2GGZ B</t>
  </si>
  <si>
    <t>3GGZ B</t>
  </si>
  <si>
    <t>4GGZ B</t>
  </si>
  <si>
    <t>5GGZ B</t>
  </si>
  <si>
    <t>6GGZ B</t>
  </si>
  <si>
    <t>7GGZ B</t>
  </si>
  <si>
    <t>excl BGGRP</t>
  </si>
  <si>
    <t>incl. BGGRP+V</t>
  </si>
  <si>
    <t>alleen</t>
  </si>
  <si>
    <t>BGGRP+V</t>
  </si>
  <si>
    <t>PGB excl DB</t>
  </si>
  <si>
    <t>PGB inclDB+V</t>
  </si>
  <si>
    <t>PGB DB+V</t>
  </si>
  <si>
    <t>ja</t>
  </si>
  <si>
    <t>correctie HV/eten</t>
  </si>
  <si>
    <t>PGB corr excl DB</t>
  </si>
  <si>
    <t>PGB corr inclDB+V</t>
  </si>
  <si>
    <t>VPT incl. BH excl DB</t>
  </si>
  <si>
    <t xml:space="preserve">VPT excl BH excl DB </t>
  </si>
  <si>
    <t>VPT excl BH incl DB</t>
  </si>
  <si>
    <t>ZZP not1</t>
  </si>
  <si>
    <t>ZZP not2</t>
  </si>
  <si>
    <t>laag</t>
  </si>
  <si>
    <t>hoog</t>
  </si>
  <si>
    <t>Soort</t>
  </si>
  <si>
    <t>Rekenmodule</t>
  </si>
  <si>
    <t>Logeren</t>
  </si>
  <si>
    <t>Z997</t>
  </si>
  <si>
    <t>Z998</t>
  </si>
  <si>
    <t>Z992</t>
  </si>
  <si>
    <t>BH-IND</t>
  </si>
  <si>
    <t>BH of BG-GRP</t>
  </si>
  <si>
    <t>BG-GRP</t>
  </si>
  <si>
    <t>BH-GRP</t>
  </si>
  <si>
    <t>overgangsrecht</t>
  </si>
  <si>
    <t>PGB instroom nieuwe cliënten</t>
  </si>
  <si>
    <t>meerzorg mogelijk</t>
  </si>
  <si>
    <t>ZZP: per jaar (max tarief + NHC/NIC)</t>
  </si>
  <si>
    <t>2016?</t>
  </si>
  <si>
    <t>VPT: BH (kosten BH voor MPT)</t>
  </si>
  <si>
    <t>Binnen Rekenmodule</t>
  </si>
  <si>
    <t>Buiten rekenmodule</t>
  </si>
  <si>
    <t>ZZP: Maximum dagtarief</t>
  </si>
  <si>
    <t>ZZP: NHC/NIC dag</t>
  </si>
  <si>
    <t>alle ZZP's excl geindiceerd BGGRP</t>
  </si>
  <si>
    <t>nooit</t>
  </si>
  <si>
    <t>ja, max 104 etm omrekenen naar bedrag, mag  niet koste van zorgfuncties</t>
  </si>
  <si>
    <t>ja, tot max budget BH bijbehorend bij VPT incl. BH</t>
  </si>
  <si>
    <t>per extramurale prestatie aangeven bij welke ZZP's dit gedeclareerd mag worden.</t>
  </si>
  <si>
    <t>Lijst extramurale prestaties te decclareren als MPT</t>
  </si>
  <si>
    <t>afhankelijk of BH of BG gedeclareerd is, en bij welk ZZP.</t>
  </si>
  <si>
    <t>Totaal minus ophoging</t>
  </si>
  <si>
    <t>Functie</t>
  </si>
  <si>
    <t>MPT budget wordt getoond</t>
  </si>
  <si>
    <t>% van landleijke tarief</t>
  </si>
  <si>
    <t>Prestatiecode
(AW319-PRESTATIECODE)</t>
  </si>
  <si>
    <t>Omschrijving prestatiecode</t>
  </si>
  <si>
    <t>Functiecode
(COD732)</t>
  </si>
  <si>
    <t>Tijdeenheid</t>
  </si>
  <si>
    <t>Tarief</t>
  </si>
  <si>
    <t>Uren</t>
  </si>
  <si>
    <t>Dagactiviteit basis</t>
  </si>
  <si>
    <t>64, 82</t>
  </si>
  <si>
    <t>keuze</t>
  </si>
  <si>
    <t>Dagdeel (4 uur)</t>
  </si>
  <si>
    <t>alle ZZP's incl geindiceerd BGGRP tot max 9 dd/wk. Hoger aantal meetellen in doelmatigheid</t>
  </si>
  <si>
    <t>Module cliëntkenmerk (som-ondersteunend)</t>
  </si>
  <si>
    <t>Module cliëntkenmerk (pg)</t>
  </si>
  <si>
    <t>Dagactiviteit (begeleiding) VG licht</t>
  </si>
  <si>
    <t>Dagactiviteit (begeleiding) VG midden</t>
  </si>
  <si>
    <t>Dagactiviteit (begeleiding) VG zwaar</t>
  </si>
  <si>
    <t>Dagactiviteit (begeleiding) VG kind licht</t>
  </si>
  <si>
    <t>Dagactiviteit (begeleiding) VG kind midden</t>
  </si>
  <si>
    <t>Dagactiviteit (begeleiding) VG kind zwaar</t>
  </si>
  <si>
    <t>Dagactiviteit (begeleiding) VG kind gedrag</t>
  </si>
  <si>
    <t>Dagactiviteit (begeleiding) LG licht</t>
  </si>
  <si>
    <t>Dagactiviteit (begeleiding) LG midden</t>
  </si>
  <si>
    <t>Dagactiviteit (begeleiding) LG zwaar</t>
  </si>
  <si>
    <t>Dagactiviteit (begeleiding) LG kind licht</t>
  </si>
  <si>
    <t>Dagactiviteit (begeleiding) LG kind midden</t>
  </si>
  <si>
    <t>Dagactiviteit (begeleiding) LG kind zwaar</t>
  </si>
  <si>
    <t>Dagactiviteit (begeleiding) ZG auditief licht</t>
  </si>
  <si>
    <t>Dagactiviteit (begeleiding) ZG auditief midden</t>
  </si>
  <si>
    <t>Dagactiviteit (begeleiding) ZG auditief zwaar</t>
  </si>
  <si>
    <t>Dagactiviteit (begeleiding) ZG kind auditief licht</t>
  </si>
  <si>
    <t>Dagactiviteit (begeleiding) ZG kind auditief midden</t>
  </si>
  <si>
    <t>Dagactiviteit (begeleiding) ZG kind auditief zwaar</t>
  </si>
  <si>
    <t>Dagactiviteit (begeleiding) ZG visueel licht</t>
  </si>
  <si>
    <t>Dagactiviteit (begeleiding) ZG visueel midden</t>
  </si>
  <si>
    <t>Dagactiviteit (begeleiding) ZG visueel zwaar</t>
  </si>
  <si>
    <t>Dagactiviteit (begeleiding) ZG kind visueel licht</t>
  </si>
  <si>
    <t>Dagactiviteit (begeleiding) ZG kind visueel midden</t>
  </si>
  <si>
    <t>Dagactiviteit (begeleiding) ZG kind visueel zwaar</t>
  </si>
  <si>
    <t>Vervoer dagbesteding/dagbehandeling V&amp;V</t>
  </si>
  <si>
    <t>Etmaal</t>
  </si>
  <si>
    <t>Vervoer dagbesteding/dagbehandeling GHZ extramuraal</t>
  </si>
  <si>
    <t>Vervoer dagbesteding/dagbehandeling GHZ rolstoel extramuraal</t>
  </si>
  <si>
    <t>Vervoer dagbesteding/dagbehandeling kind extramuraal</t>
  </si>
  <si>
    <t>Dagbehandeling ouderen som en pg</t>
  </si>
  <si>
    <t>61, 64</t>
  </si>
  <si>
    <t>Dagbehandeling VG kind emg</t>
  </si>
  <si>
    <t>Dagbehandeling VG EMG</t>
  </si>
  <si>
    <t>Dagbehandeling VG kind midden</t>
  </si>
  <si>
    <t>Dagbehandeling VG kind zwaar</t>
  </si>
  <si>
    <t>Dagbehandeling VG kind gedrag</t>
  </si>
  <si>
    <t>Dagbehandeling LG licht</t>
  </si>
  <si>
    <t>Dagbehandeling LG midden</t>
  </si>
  <si>
    <t>Dagbehandeling LG zwaar</t>
  </si>
  <si>
    <t>Dagbehandeling  LVG</t>
  </si>
  <si>
    <t>Behandeling basis lvg</t>
  </si>
  <si>
    <t>61, 63</t>
  </si>
  <si>
    <t>Minuut</t>
  </si>
  <si>
    <t>Behandeling basis sglvg traject</t>
  </si>
  <si>
    <t>Behandeling basis sglvg deeltijd</t>
  </si>
  <si>
    <t>61, 63, 64</t>
  </si>
  <si>
    <t>Behandeling basis som, pg, vg, lg, zg</t>
  </si>
  <si>
    <t>Behandeling gedragswetenschapper</t>
  </si>
  <si>
    <t>Behandeling paramedisch</t>
  </si>
  <si>
    <t>Behandeling Families First lvg</t>
  </si>
  <si>
    <t>Behandeling IOG lvg</t>
  </si>
  <si>
    <t>61, 63, 81</t>
  </si>
  <si>
    <t>Reiskosten prestaties Behandeling (H325-H334)</t>
  </si>
  <si>
    <t>Tijdsonafhankelijk</t>
  </si>
  <si>
    <t>Behandeling ZG visueel</t>
  </si>
  <si>
    <t>Behandeling ZG auditief</t>
  </si>
  <si>
    <t>Verblijfscomponent niet-geïndiceerde partner V&amp;V</t>
  </si>
  <si>
    <t>Verblijfscomponent niet-geïndiceerde partner GHZ: VG en LG</t>
  </si>
  <si>
    <t>Verblijfscomponent niet-geïndiceerde partner GHZ: ZG</t>
  </si>
  <si>
    <t>Verblijfscomponent kortdurend verblijf V&amp;V</t>
  </si>
  <si>
    <t>Verblijfscomponent kortdurend verblijf GGZ</t>
  </si>
  <si>
    <t>Verblijfscomponent kortdurend verblijf GHZ:  VG en LG</t>
  </si>
  <si>
    <t>Verblijfscomponent kortdurend verblijf GHZ:  ZG</t>
  </si>
  <si>
    <t>Persoonlijke verzorging</t>
  </si>
  <si>
    <t xml:space="preserve">31, 71 </t>
  </si>
  <si>
    <t>Persoonlijke verzorging extra</t>
  </si>
  <si>
    <t>Persoonlijke verzorging speciaal</t>
  </si>
  <si>
    <t>Persoonlijke verzorging zorg op afstand aanvullend</t>
  </si>
  <si>
    <t>Persoonlijke verzorging farmaceutische telezorg</t>
  </si>
  <si>
    <t>Verpleging</t>
  </si>
  <si>
    <t>41, 71</t>
  </si>
  <si>
    <t>Verpleging extra</t>
  </si>
  <si>
    <t>Gespecialiseerde verpleging</t>
  </si>
  <si>
    <t>Verpleging  zorg op afstand aanvullend</t>
  </si>
  <si>
    <t>Begeleiding</t>
  </si>
  <si>
    <t>71, 81</t>
  </si>
  <si>
    <t>Begeleiding extra</t>
  </si>
  <si>
    <t>Begeleiding speciaal 1 (nah)</t>
  </si>
  <si>
    <t>Gespecialiseerde begeleiding (psy)</t>
  </si>
  <si>
    <t>Begeleiding ZG visueel</t>
  </si>
  <si>
    <t>Begeleiding speciaal 2 (visueel)</t>
  </si>
  <si>
    <t>Begeleiding ZG auditief</t>
  </si>
  <si>
    <t>Begeleiding speciaal 2 (auditief)</t>
  </si>
  <si>
    <t>Begeleiding  zorg op afstand aanvullend</t>
  </si>
  <si>
    <t>Verpleging: AIV</t>
  </si>
  <si>
    <t>Nachtverzorging</t>
  </si>
  <si>
    <t>Nachtverpleging</t>
  </si>
  <si>
    <t>LG</t>
  </si>
  <si>
    <t>VG</t>
  </si>
  <si>
    <t>SOM</t>
  </si>
  <si>
    <t>PG</t>
  </si>
  <si>
    <t>ZG</t>
  </si>
  <si>
    <t>PA</t>
  </si>
  <si>
    <t>Som</t>
  </si>
  <si>
    <t>BG-IND</t>
  </si>
  <si>
    <t>Bedrag per week</t>
  </si>
  <si>
    <t>Zorg aan te vragen conform iWLZ</t>
  </si>
  <si>
    <t>Klasse</t>
  </si>
  <si>
    <t>Aanvraag akkoord?</t>
  </si>
  <si>
    <t>H325 Behandeling basis jlvg H325</t>
  </si>
  <si>
    <t>H326 Behandeling basis sglvg traject H326</t>
  </si>
  <si>
    <t>H327 Behandeling basis sglvg deeltijd H327</t>
  </si>
  <si>
    <t>H328 Behandeling basis som, pg, vg, lg H328</t>
  </si>
  <si>
    <t>H329 Behandeling gedragswetenschapper H329</t>
  </si>
  <si>
    <t>H330 Behandeling paramedisch H330</t>
  </si>
  <si>
    <t>H331 Behandeling Families First (j)lvg H331</t>
  </si>
  <si>
    <t>H332 Behandeling ZG visueel H332</t>
  </si>
  <si>
    <t>H333 Behandeling ZG auditief H333</t>
  </si>
  <si>
    <t>H334 Behandeling IOG (j)lvg H334</t>
  </si>
  <si>
    <t>H321 Reiskosten prestaties behandeling (H325-H333) H321</t>
  </si>
  <si>
    <t>F125 Dagactiviteit GGZ-LZA F125</t>
  </si>
  <si>
    <t>H531 Dagactiviteit basis H531</t>
  </si>
  <si>
    <t>H533 Dagactiviteit pg H533</t>
  </si>
  <si>
    <t>H800 Dagactiviteit som-ondersteunend H800</t>
  </si>
  <si>
    <t>H802 Dagbehandeling ouderen som en pg H802</t>
  </si>
  <si>
    <t>H803 Vervoer dagbesteding/dagbehandeling V&amp;V H803</t>
  </si>
  <si>
    <t>H811 Dagactiviteit VG licht H811</t>
  </si>
  <si>
    <t>H812 Dagactiviteit VG midden H812</t>
  </si>
  <si>
    <t>H813 Dagactiviteit VG zwaar H813</t>
  </si>
  <si>
    <t>H814 Dagactiviteit VG kind licht H814</t>
  </si>
  <si>
    <t>H815 Dagactiviteit VG kind midden H815</t>
  </si>
  <si>
    <t>H816 Dagactiviteit VG kind zwaar H816</t>
  </si>
  <si>
    <t>H817 Dagbehandeling VG kind emg H817</t>
  </si>
  <si>
    <t>H818 Dagactiviteit VG kind gedrag H818</t>
  </si>
  <si>
    <t>H819 Dagbehandeling VG emg H819</t>
  </si>
  <si>
    <t>H820 Dagbehandeling VG kind midden H820</t>
  </si>
  <si>
    <t>H821 Dagbehandeling VG kind zwaar H821</t>
  </si>
  <si>
    <t>H822 Dagbehandeling VG kind gedrag H822</t>
  </si>
  <si>
    <t>H831 Dagactiviteit LG licht H831</t>
  </si>
  <si>
    <t>H832 Dagactiviteit LG midden H832</t>
  </si>
  <si>
    <t>H833 Dagactiviteit LG zwaar H833</t>
  </si>
  <si>
    <t>H834 Dagactiviteit LG kind licht H834</t>
  </si>
  <si>
    <t>H835 Dagactiviteit LG kind midden H835</t>
  </si>
  <si>
    <t>H836 Dagactiviteit LG kind zwaar H836</t>
  </si>
  <si>
    <t>H837 Dagbehandeling LG licht H837</t>
  </si>
  <si>
    <t>H838 Dagbehandeling LG midden H838</t>
  </si>
  <si>
    <t>H839 Dagbehandeling LG zwaar H839</t>
  </si>
  <si>
    <t>H851 Dagactiviteit ZG aud licht H851</t>
  </si>
  <si>
    <t>H852 Dagactiviteit ZG aud midden H852</t>
  </si>
  <si>
    <t>H853 Dagactiviteit ZG aud zwaar H853</t>
  </si>
  <si>
    <t>H854 Dagactiviteit ZG aud kind licht H854</t>
  </si>
  <si>
    <t>H855 Dagactiviteit ZG aud kind midden H855</t>
  </si>
  <si>
    <t>H856 Dagactiviteit ZG aud kind zwaar H856</t>
  </si>
  <si>
    <t>H871 Dagactiviteit ZG vis licht H871</t>
  </si>
  <si>
    <t>H872 Dagactiviteit ZG vis midden H872</t>
  </si>
  <si>
    <t>H873 Dagactiviteit ZG vis zwaar H873</t>
  </si>
  <si>
    <t>H874 Dagactiviteit ZG vis kind licht H874</t>
  </si>
  <si>
    <t>H875 Dagactiviteit ZG vis kind midden H875</t>
  </si>
  <si>
    <t>H876 Dagactiviteit ZG vis kind zwaar H876</t>
  </si>
  <si>
    <t>H891 Dagbehandeling JLVG H891</t>
  </si>
  <si>
    <t>H894 Vervoer dagbesteding/dagbehandeling GHZ extramuraal H894</t>
  </si>
  <si>
    <t>H895 Vervoer dagbesteding/dagbehandeling GHZ rolstoel extram. H895</t>
  </si>
  <si>
    <t>H896 Vervoer dagbesteding/dagbeh. kind extramuraal H896</t>
  </si>
  <si>
    <t>H900 Dagbesteding VG-licht (VG1-VG4) H900</t>
  </si>
  <si>
    <t>H901 Dagbesteding VG-midden (VG5, VG6) H901</t>
  </si>
  <si>
    <t>H902 Dagbesteding VG-zwaar (VG7) H902</t>
  </si>
  <si>
    <t>H908 Kapitaallasten dagbesteding VG H908</t>
  </si>
  <si>
    <t>H909 Inventaris dagbesteding VG H909</t>
  </si>
  <si>
    <t>H910 Dagbesteding LG-licht (7LG) H910</t>
  </si>
  <si>
    <t>H911 Dagbesteding LG-midden (2LG,4LG,6LG) H911</t>
  </si>
  <si>
    <t>H912 Dagbesteding LG-zwaar (1LG,3LG,5LG) H912</t>
  </si>
  <si>
    <t>H918 Kapitaallasten dagbesteding LG H918</t>
  </si>
  <si>
    <t>H919 Inventaris dagbesteding LG H919</t>
  </si>
  <si>
    <t>H920 Dagbesteding ZG aud licht (ZG aud1, ZG aud4) H920</t>
  </si>
  <si>
    <t>H921 Dagbesteding ZG aud midden (ZG aud2) H921</t>
  </si>
  <si>
    <t>H922 Dagbesteding ZG aud zwaar (ZG aud3) H922</t>
  </si>
  <si>
    <t>H928 Kapitaallasten dagbesteding ZG H928</t>
  </si>
  <si>
    <t>H929 Inventaris dagbesteding ZG H929</t>
  </si>
  <si>
    <t>H930 Dagbesteding ZG vis licht ( ZG vis2, ZG vis3) H930</t>
  </si>
  <si>
    <t>H931 Dagbesteding ZG vis midden (ZG vis1) H931</t>
  </si>
  <si>
    <t>H932 Dagbesteding ZG vis zwaar (ZG vis4, ZG vis5) H932</t>
  </si>
  <si>
    <t>H940 Toeslag kind dagbesteding VG licht H940</t>
  </si>
  <si>
    <t>H941 Toeslag kind dagbesteding VG midden H941</t>
  </si>
  <si>
    <t>H942 Toeslag kind dagbesteding VG5/VG8 midden emg H942</t>
  </si>
  <si>
    <t>H943 Toeslag kind dagbesteding VG zwaar H943</t>
  </si>
  <si>
    <t>H950 Toeslag kind dagbesteding LG licht H950</t>
  </si>
  <si>
    <t>H951 Toeslag kind dagbesteding LG midden H951</t>
  </si>
  <si>
    <t>H952 Toeslag kind dagbesteding LG zwaar H952</t>
  </si>
  <si>
    <t>H960 Toeslag kind dagbesteding ZG auditief licht H960</t>
  </si>
  <si>
    <t>H961 Toeslag kind dagbesteding ZG auditief midden H961</t>
  </si>
  <si>
    <t>H962 Toeslag kind dagbesteding ZG auditief zwaar H962</t>
  </si>
  <si>
    <t>H970 Toeslag kind dagbesteding ZG visueel licht H970</t>
  </si>
  <si>
    <t>H971 Toeslag kind dagbesteding ZG visueel midden H971</t>
  </si>
  <si>
    <t>H972 Toeslag kind dagbesteding ZG visueel zwaar H972</t>
  </si>
  <si>
    <t>H974 Vervoer dagbesteding GHZ intramuraal H974</t>
  </si>
  <si>
    <t>H975 Vervoer dagbesteding GHZ rolstoel intram. H975</t>
  </si>
  <si>
    <t>H976 Vervoer dagbesteding kind intramuraal H976</t>
  </si>
  <si>
    <t>H104 Verpleging basis H104</t>
  </si>
  <si>
    <t>H106 Gespecialiseerde verpleging H106</t>
  </si>
  <si>
    <t>H107 Verpleging zorg op afstand aanvullend H107</t>
  </si>
  <si>
    <t>H114 Verpleging: AIV H114</t>
  </si>
  <si>
    <t>H120 Persoonlijke Verzorging speciaal H120</t>
  </si>
  <si>
    <t>H126 Persoonlijke Verzorging basis H126</t>
  </si>
  <si>
    <t>H127 Persoonlijke Verzorging extra H127</t>
  </si>
  <si>
    <t>H128 Verpleging extra H128</t>
  </si>
  <si>
    <t>H132 Nachtverzorging H132</t>
  </si>
  <si>
    <t>H136 Persoonlijke verzorging zorg op afstand aanvullend H136</t>
  </si>
  <si>
    <t>H137 Persoonlijke Verzorging farmaceutische telezorg H137</t>
  </si>
  <si>
    <t>H150 Begeleiding extra H150</t>
  </si>
  <si>
    <t>H152 Begeleiding speciaal 1 (nah) H152</t>
  </si>
  <si>
    <t>H153 Gespecialiseerde begeleiding (psy) H153</t>
  </si>
  <si>
    <t>H180 Nachtverpleging H180</t>
  </si>
  <si>
    <t>H300 Begeleiding basis H300</t>
  </si>
  <si>
    <t>H301 Begeleiding ZG visueel H301</t>
  </si>
  <si>
    <t>H302 Begeleiding speciaal 2 (visueel) H302</t>
  </si>
  <si>
    <t>H303 Begeleiding ZG auditief H303</t>
  </si>
  <si>
    <t>H304 Begeleiding speciaal 2 (auditief) H304</t>
  </si>
  <si>
    <t>H305 Begeleiding zorg op afstand aanvullend H305</t>
  </si>
  <si>
    <t>Bgind</t>
  </si>
  <si>
    <t>BGgrp</t>
  </si>
  <si>
    <t>BHgrp</t>
  </si>
  <si>
    <t>Bhind</t>
  </si>
  <si>
    <t>K1</t>
  </si>
  <si>
    <t>K2</t>
  </si>
  <si>
    <t>K3</t>
  </si>
  <si>
    <t>K4</t>
  </si>
  <si>
    <t>K5</t>
  </si>
  <si>
    <t>K6</t>
  </si>
  <si>
    <t>K7</t>
  </si>
  <si>
    <t>K8</t>
  </si>
  <si>
    <t>Nvt</t>
  </si>
  <si>
    <t>KD01</t>
  </si>
  <si>
    <t>KD02</t>
  </si>
  <si>
    <t>KD03</t>
  </si>
  <si>
    <t>KD04</t>
  </si>
  <si>
    <t>KD05</t>
  </si>
  <si>
    <t>KD06</t>
  </si>
  <si>
    <t>KD07</t>
  </si>
  <si>
    <t>KD08</t>
  </si>
  <si>
    <t>KD09</t>
  </si>
  <si>
    <t>Bhgrp</t>
  </si>
  <si>
    <t>Minuten</t>
  </si>
  <si>
    <t>Dagdelen</t>
  </si>
  <si>
    <t>Excl.</t>
  </si>
  <si>
    <t>Incl</t>
  </si>
  <si>
    <t>Ruimte</t>
  </si>
  <si>
    <t>Koppeling prestaties bij bijbehorende functies</t>
  </si>
  <si>
    <t>Koppeling grondslag aan ZZP's</t>
  </si>
  <si>
    <t>Gunningsperceptage</t>
  </si>
  <si>
    <t>Koppeling tijdseenheid aan functie</t>
  </si>
  <si>
    <t>Koppeling uren aan klasse</t>
  </si>
  <si>
    <t>Totaal uren per functie</t>
  </si>
  <si>
    <t>Afronding</t>
  </si>
  <si>
    <t>Gedeeld door 60</t>
  </si>
  <si>
    <t>Om 0 te compenceren</t>
  </si>
  <si>
    <t>omvang uren</t>
  </si>
  <si>
    <t>KE1</t>
  </si>
  <si>
    <t>KE2</t>
  </si>
  <si>
    <t>KE3</t>
  </si>
  <si>
    <t>KE4</t>
  </si>
  <si>
    <t>KE5</t>
  </si>
  <si>
    <t>KE6</t>
  </si>
  <si>
    <t>KE7</t>
  </si>
  <si>
    <t>Compensatie K0 bij VP</t>
  </si>
  <si>
    <t>Koppeling prestatie aan tarief</t>
  </si>
  <si>
    <t>Berekening totaalbedragen:</t>
  </si>
  <si>
    <t>Bedrag aan behandeling grp</t>
  </si>
  <si>
    <t>Bedrag aan logeren</t>
  </si>
  <si>
    <t>Bedrag aan Behandeling ind:</t>
  </si>
  <si>
    <t>Totaal behandeling</t>
  </si>
  <si>
    <t>Totale omvang zorg thuis:</t>
  </si>
  <si>
    <t>MPT bedrag</t>
  </si>
  <si>
    <t>9vvb</t>
  </si>
  <si>
    <t>JA</t>
  </si>
  <si>
    <t>Nee</t>
  </si>
  <si>
    <t>Berekening ZZP waarde</t>
  </si>
  <si>
    <t>Ruimte behandeling bepalen</t>
  </si>
  <si>
    <t>Is er sprake van extra kosten thuis?</t>
  </si>
  <si>
    <t>Keuzelijst EKT</t>
  </si>
  <si>
    <t>Ja; sprake van terminale zorg</t>
  </si>
  <si>
    <t>Berekening EKT</t>
  </si>
  <si>
    <t>Extramurale ruimte en beademing</t>
  </si>
  <si>
    <t>Tarief beademing</t>
  </si>
  <si>
    <t>Totale ruimte</t>
  </si>
  <si>
    <t>Totale omvang ZIN</t>
  </si>
  <si>
    <t>Behandeling ruimte</t>
  </si>
  <si>
    <t>Aanvraag BH</t>
  </si>
  <si>
    <t>incl beh</t>
  </si>
  <si>
    <t>omvang</t>
  </si>
  <si>
    <t>Omrekening naar huidige rekenmodule</t>
  </si>
  <si>
    <t>K0</t>
  </si>
  <si>
    <t>Omvang oud</t>
  </si>
  <si>
    <t xml:space="preserve">Bedrag </t>
  </si>
  <si>
    <t>prestatie</t>
  </si>
  <si>
    <t>Bedrag</t>
  </si>
  <si>
    <t>totaal EM</t>
  </si>
  <si>
    <t>ZZP waarde-PGB</t>
  </si>
  <si>
    <t>Totaal EM ZIN</t>
  </si>
  <si>
    <t>Maximale ruimte Extra kosten thuis</t>
  </si>
  <si>
    <t>PGBbedrag bepalen</t>
  </si>
  <si>
    <t>Telling</t>
  </si>
  <si>
    <t>Opslag bepaling</t>
  </si>
  <si>
    <t>Max klasse</t>
  </si>
  <si>
    <t>Totaal minuten/dagdelen</t>
  </si>
  <si>
    <t>Uren/dagdelen</t>
  </si>
  <si>
    <t>Voor voorwaardelijke opmaak "opslag"</t>
  </si>
  <si>
    <t>Eenheid</t>
  </si>
  <si>
    <t>Ja</t>
  </si>
  <si>
    <t>Keuze</t>
  </si>
  <si>
    <t>wel</t>
  </si>
  <si>
    <t>Niet</t>
  </si>
  <si>
    <t>H820 Dagbehandeling VG kind midden</t>
  </si>
  <si>
    <t>H821 Dagbehandeling VG kind zwaar</t>
  </si>
  <si>
    <t>H822 Dagbehandeling VG kind gedrag</t>
  </si>
  <si>
    <t>H802 Dagbehandeling ouderen som en pg</t>
  </si>
  <si>
    <t>H817 Dagbehandeling VG kind emg</t>
  </si>
  <si>
    <t>H837 Dagbehandeling LG licht</t>
  </si>
  <si>
    <t>H838 Dagbehandeling LG midden</t>
  </si>
  <si>
    <t>H839 Dagbehandeling LG zwaar</t>
  </si>
  <si>
    <t>H891 Dagbehandeling  LVG</t>
  </si>
  <si>
    <t>H104 Verpleging</t>
  </si>
  <si>
    <t>H128 Verpleging extra</t>
  </si>
  <si>
    <t>H106 Gespecialiseerde verpleging</t>
  </si>
  <si>
    <t>H107 Verpleging  zorg op afstand aanvullend</t>
  </si>
  <si>
    <t>H126 Persoonlijke verzorging</t>
  </si>
  <si>
    <t>H120 Persoonlijke verzorging speciaal</t>
  </si>
  <si>
    <t>H136 Persoonlijke verzorging zorg op afstand aanvullend</t>
  </si>
  <si>
    <t>H137 Persoonlijke verzorging farmaceutische telezorg</t>
  </si>
  <si>
    <t>H300 Begeleiding</t>
  </si>
  <si>
    <t>H152 Begeleiding speciaal 1 (nah)</t>
  </si>
  <si>
    <t>H301 Begeleiding ZG visueel</t>
  </si>
  <si>
    <t>H302 Begeleiding speciaal 2 (visueel)</t>
  </si>
  <si>
    <t>H303 Begeleiding ZG auditief</t>
  </si>
  <si>
    <t>H304 Begeleiding speciaal 2 (auditief)</t>
  </si>
  <si>
    <t>H305 Begeleiding  zorg op afstand aanvullend</t>
  </si>
  <si>
    <t>H326 Behandeling basis sglvg traject</t>
  </si>
  <si>
    <t>H327 Behandeling basis sglvg deeltijd</t>
  </si>
  <si>
    <t>H329 Behandeling gedragswetenschapper</t>
  </si>
  <si>
    <t>H330 Behandeling paramedisch</t>
  </si>
  <si>
    <t>H331 Behandeling Families First lvg</t>
  </si>
  <si>
    <t>H334 Behandeling IOG lvg</t>
  </si>
  <si>
    <t>H132 Nachtverzorging</t>
  </si>
  <si>
    <t>H180 Nachtverpleging</t>
  </si>
  <si>
    <t>F125 Dagactiviteit LZA</t>
  </si>
  <si>
    <t>H818 Dagactiviteit (begeleiding) VG kind gedrag</t>
  </si>
  <si>
    <t>Etmalen</t>
  </si>
  <si>
    <t>H325 Behandeling lvg</t>
  </si>
  <si>
    <t>H332 Behandeling ZG visueel</t>
  </si>
  <si>
    <t>H333 Behandeling ZG auditief</t>
  </si>
  <si>
    <t>H894 Vervoer dagbesteding/dagbehandeling GHZ extramuraal</t>
  </si>
  <si>
    <t>H940 Toeslag kind dagbesteding VG licht</t>
  </si>
  <si>
    <t>H941 Toeslag kind dagbesteding VG midden</t>
  </si>
  <si>
    <t>H942 Toeslag kind dagbesteding VG5/VG8 midden emg</t>
  </si>
  <si>
    <t>H943 Toeslag kind dagbesteding VG zwaar</t>
  </si>
  <si>
    <t>H950 Toeslag kind dagbesteding LG licht</t>
  </si>
  <si>
    <t>H951 Toeslag kind dagbesteding LG midden</t>
  </si>
  <si>
    <t>H952 Toeslag kind dagbesteding LG zwaar</t>
  </si>
  <si>
    <t>H960 Toeslag kind dagbesteding ZG auditief licht</t>
  </si>
  <si>
    <t>H961 Toeslag kind dagbesteding ZG auditief midden</t>
  </si>
  <si>
    <t>H962 Toeslag kind dagbesteding ZG auditief zwaar</t>
  </si>
  <si>
    <t>H970 Toeslag kind dagbesteding ZG visueel licht</t>
  </si>
  <si>
    <t>H971 Toeslag kind dagbesteding ZG visueel midden</t>
  </si>
  <si>
    <t>H972 Toeslag kind dagbesteding ZG visueel zwaar</t>
  </si>
  <si>
    <t>H974 Vervoer dagbesteding GHZ intramuraal</t>
  </si>
  <si>
    <t>H976 Vervoer dagbesteding kind intramuraal</t>
  </si>
  <si>
    <t>ja invasieve beademing</t>
  </si>
  <si>
    <t>ja non-invasieve beademing</t>
  </si>
  <si>
    <t>Is er spake van een toeslag in verband met beademing?</t>
  </si>
  <si>
    <t>Ja; sprake van thuiswonend kind</t>
  </si>
  <si>
    <t>Is er sprake van PGB naast ZIN?</t>
  </si>
  <si>
    <t xml:space="preserve">1. </t>
  </si>
  <si>
    <t>Wlz  sector (Som, PG, VG,LG of ZG)</t>
  </si>
  <si>
    <t>Aanvraag past niet. Is er sprake van een bijzondere situatie?</t>
  </si>
  <si>
    <t>ja; sprake van betaalde arbeid</t>
  </si>
  <si>
    <t>Is er sprake van een kleinschalige woonvoorziening?</t>
  </si>
  <si>
    <t>Naam contactpersoon:</t>
  </si>
  <si>
    <t>Organisatie contactpersoon</t>
  </si>
  <si>
    <t>Telefoonnummer contactpersoon</t>
  </si>
  <si>
    <t>ADVIES ZORGAANBIEDER VERANTWOORD THUIS VPT/MPT</t>
  </si>
  <si>
    <t xml:space="preserve">2. </t>
  </si>
  <si>
    <t xml:space="preserve">Er is verminderde zelfregie </t>
  </si>
  <si>
    <t>Er is geen sprake van zelfregie</t>
  </si>
  <si>
    <t xml:space="preserve">Is er sprake van een gevaarscriterium als gevolg van ernstig verminderde zelfregie? </t>
  </si>
  <si>
    <t xml:space="preserve">3. </t>
  </si>
  <si>
    <t>6.</t>
  </si>
  <si>
    <t xml:space="preserve">Ja, noodzakelijke achterwacht is 24 uur per dag beschikbaar </t>
  </si>
  <si>
    <t>Nee, noodzakelijke achterwacht is niet 24 uur per dag in te regelen</t>
  </si>
  <si>
    <t>Nee, het is niet noodzakelijk om achterwacht in te regelen</t>
  </si>
  <si>
    <t>Is er noodzaak tot specifieke Wlz behandeling?</t>
  </si>
  <si>
    <t>Nee, er is geen noodzaak tot Wlz behandeling</t>
  </si>
  <si>
    <t>Ja, maar de cliënt ontvangt passende Wlz behandeling</t>
  </si>
  <si>
    <t>Ja, Wlz behandeling is noodzakelijk maar de cliënt weigert dit</t>
  </si>
  <si>
    <t>Ja, de huisarts is van mening dat medische zorg thuis verantwoord is</t>
  </si>
  <si>
    <t>CLIENTGEGEVENS</t>
  </si>
  <si>
    <t>Naam</t>
  </si>
  <si>
    <t>BSN</t>
  </si>
  <si>
    <t>Naam:</t>
  </si>
  <si>
    <t>Nee, de huisarts is niet bereid mee te werken aan een advies</t>
  </si>
  <si>
    <t>Geïndiceerd profiel</t>
  </si>
  <si>
    <t>Ja; opgroeiend kind thuis jonger dan 23 jaar</t>
  </si>
  <si>
    <t>Ja; ouder met kind jonger dan 18 die thuis woont</t>
  </si>
  <si>
    <t>Toelichting:</t>
  </si>
  <si>
    <t>klik hier om tekst in te voeren</t>
  </si>
  <si>
    <t>Klik hier om tekst in te voeren</t>
  </si>
  <si>
    <t xml:space="preserve">Is de cliënt en/of zijn mantelzorg het eens met uw advies? </t>
  </si>
  <si>
    <t>Totaal ingezet</t>
  </si>
  <si>
    <t>Toegestaan logeren</t>
  </si>
  <si>
    <t>per week</t>
  </si>
  <si>
    <t>Toeslag op te tellen</t>
  </si>
  <si>
    <t>H335</t>
  </si>
  <si>
    <t>H336</t>
  </si>
  <si>
    <t>H127 Persoonlijke verzorging incl. beschikbaarheid</t>
  </si>
  <si>
    <t>H150 Begeleiding incl. beschikbaarheid</t>
  </si>
  <si>
    <t>H153 Begeleiding speciaal 2 (psy)</t>
  </si>
  <si>
    <t>H321 Reiskosten prestaties Behandeling (H325 t/m H331 en H334 t/m H336)</t>
  </si>
  <si>
    <t>H335 Behandeling som, pg, vg, lg, zg (SO)</t>
  </si>
  <si>
    <t>H336 Behandeling som, pg, vg, lg, zg (AVG)</t>
  </si>
  <si>
    <t>H531 Dagbesteding basis</t>
  </si>
  <si>
    <t>H533 Dagbesteding psychogeriatrisch</t>
  </si>
  <si>
    <t>H800 Dagbesteding somatisch ondersteunend</t>
  </si>
  <si>
    <t>H803 Vervoer dagbesteding/dagbehandeling V&amp;V</t>
  </si>
  <si>
    <t>H811 Dagbesteding VG licht</t>
  </si>
  <si>
    <t>H812 Dagbesteding VG midden</t>
  </si>
  <si>
    <t>H813 Dagbesteding VG zwaar</t>
  </si>
  <si>
    <t>H814 Dagbesteding VG kind licht</t>
  </si>
  <si>
    <t>H815 Dagbesteding VG kind midden</t>
  </si>
  <si>
    <t>H816 Dagbesteding VG kind zwaar</t>
  </si>
  <si>
    <t>H819 Dagbehandeling VG EMG volwassenen</t>
  </si>
  <si>
    <t>H831 Dagbesteding LG licht</t>
  </si>
  <si>
    <t>H832 Dagbesteding LG midden</t>
  </si>
  <si>
    <t>H833 Dagbesteding LG zwaar</t>
  </si>
  <si>
    <t>H834 Dagbesteding LG kind licht</t>
  </si>
  <si>
    <t>H835 Dagbesteding LG kind midden</t>
  </si>
  <si>
    <t>H836 Dagbesteding LG kind zwaar</t>
  </si>
  <si>
    <t>H851 Dagbesteding ZG auditief licht</t>
  </si>
  <si>
    <t>H852 Dagbesteding ZG auditief midden</t>
  </si>
  <si>
    <t>H853 Dagbesteding ZG auditief zwaar</t>
  </si>
  <si>
    <t>H854 Dagbesteding ZG kind auditief licht</t>
  </si>
  <si>
    <t>H855 Dagbesteding ZG kind auditief midden</t>
  </si>
  <si>
    <t>H856 Dagbesteding ZG kind auditief zwaar</t>
  </si>
  <si>
    <t>H871 Dagbesteding ZG visueel licht</t>
  </si>
  <si>
    <t>H872 Dagbesteding ZG visueel midden</t>
  </si>
  <si>
    <t>H873 Dagbesteding ZG visueel zwaar</t>
  </si>
  <si>
    <t>H874 Dagbesteding ZG kind visueel licht</t>
  </si>
  <si>
    <t>H875 Dagbesteding ZG kind visueel midden</t>
  </si>
  <si>
    <t>H876 Dagbesteding ZG kind visueel zwaar</t>
  </si>
  <si>
    <t>H895 Vervoer dagbesteding/dagbehandeling GHZ rolstoel extramuraal</t>
  </si>
  <si>
    <t>H896 Vervoer dagbesteding/dagbehandeling kind extramuraal</t>
  </si>
  <si>
    <t>H975 Vervoer dagbesteding GHZ rolstoel intramuraal</t>
  </si>
  <si>
    <t>Bereikbaarheid contactpersoon</t>
  </si>
  <si>
    <t xml:space="preserve">Wat is uw advies voor (overbruggings) zorg thuis als betrokken zorgprofessional? </t>
  </si>
  <si>
    <t>Overbruggingszorg thuis tot opname is verantwoord</t>
  </si>
  <si>
    <t>Overbruggingszorg thuis tot opname is niet verantwoord</t>
  </si>
  <si>
    <t xml:space="preserve">Ja er is extra behandeling noodzakelijk op de (al) geleverde WLZ behandeling. Deze behandeling  </t>
  </si>
  <si>
    <t>*</t>
  </si>
  <si>
    <t>Welke diagnose maakt inzet van (extra) behandeling noodzakelijk?</t>
  </si>
  <si>
    <t>Wie is eindverantwoordelijkheid voor de behandeling (arts/behandelaar)?</t>
  </si>
  <si>
    <t>Welke methodiek wordt toegepast voor de behandeling?</t>
  </si>
  <si>
    <t>Wat is het te behalen resultaat van de behandeling?</t>
  </si>
  <si>
    <t>Wat is het aantal benodigde (extra) uren behandeling (individueel) of dagdelen (groep) per week?</t>
  </si>
  <si>
    <t>X</t>
  </si>
  <si>
    <t>Nee, de cliënt weigert noodzakelijke achterwacht</t>
  </si>
  <si>
    <t xml:space="preserve">Is de medische en/of gedragskundige zorg in de thuissituatie verantwoord (meerdere antwoorden mogelijk)? </t>
  </si>
  <si>
    <t>Hoe wordt het te behalen resultaat (verbeterdoel) getoetst?</t>
  </si>
  <si>
    <r>
      <t>wordt niet vergoed vanuit de Zvw.</t>
    </r>
    <r>
      <rPr>
        <sz val="10"/>
        <color indexed="30"/>
        <rFont val="Arial"/>
        <family val="2"/>
      </rPr>
      <t xml:space="preserve"> </t>
    </r>
    <r>
      <rPr>
        <sz val="10"/>
        <color rgb="FF002060"/>
        <rFont val="Arial"/>
        <family val="2"/>
      </rPr>
      <t>Licht de volgende vragen altijd toe:</t>
    </r>
  </si>
  <si>
    <r>
      <t>Nee, ons advies wordt niet gedeeld</t>
    </r>
    <r>
      <rPr>
        <sz val="10"/>
        <color rgb="FF002060"/>
        <rFont val="Arial"/>
        <family val="2"/>
      </rPr>
      <t xml:space="preserve"> (altijd toelichten)</t>
    </r>
  </si>
  <si>
    <t>De betrokken AVG arts en/of gedragsdeskundige deelt de mening van de huisarts</t>
  </si>
  <si>
    <t>Er is geen AVG arts of gedragsdeskundige bij deze cliënt betrokken</t>
  </si>
  <si>
    <r>
      <t xml:space="preserve">De betrokken AVG arts en/of gedragsdeskundige deelt de mening v/d huisarts niet </t>
    </r>
    <r>
      <rPr>
        <i/>
        <sz val="10"/>
        <color rgb="FF002060"/>
        <rFont val="Arial"/>
        <family val="2"/>
      </rPr>
      <t>(toelichten)</t>
    </r>
  </si>
  <si>
    <r>
      <t xml:space="preserve">Nee, de huisarts is van mening dat de medische zorg thuis niet verantwoord is, er is sprake van een spoedsituatie voor opname </t>
    </r>
    <r>
      <rPr>
        <i/>
        <sz val="10"/>
        <color rgb="FF002060"/>
        <rFont val="Arial"/>
        <family val="2"/>
      </rPr>
      <t>(toelichten)</t>
    </r>
  </si>
  <si>
    <r>
      <t xml:space="preserve">Nee, de huisarts is van mening dat medische zorg thuis niet verantwoord is maar er is geen sprake van een spoedsituatie voor opname </t>
    </r>
    <r>
      <rPr>
        <i/>
        <sz val="10"/>
        <color rgb="FF002060"/>
        <rFont val="Arial"/>
        <family val="2"/>
      </rPr>
      <t>(toelichten)</t>
    </r>
  </si>
  <si>
    <t>Schoonmaak</t>
  </si>
  <si>
    <t>H117 Schoonmaak</t>
  </si>
  <si>
    <t>H117</t>
  </si>
  <si>
    <t>HV</t>
  </si>
  <si>
    <t xml:space="preserve">Z999 Logeren GHZ-VG </t>
  </si>
  <si>
    <t xml:space="preserve">Z1000 Logeren GHZ-LG </t>
  </si>
  <si>
    <t xml:space="preserve">Z1001 Logeren GHZ-LVG </t>
  </si>
  <si>
    <t xml:space="preserve">Z1002 Logeren GHZ-ZG </t>
  </si>
  <si>
    <t xml:space="preserve">Z1003 Logeren VV </t>
  </si>
  <si>
    <t>Ja; Cliënt is Wlz indiceerbaar</t>
  </si>
  <si>
    <t>Is er sprake van een overige reden?</t>
  </si>
  <si>
    <t>Lijst 3</t>
  </si>
  <si>
    <t>Extra overbruggingszorg (actief wachtend)</t>
  </si>
  <si>
    <t>Palliatief terminale zorg</t>
  </si>
  <si>
    <t>Meerzorg</t>
  </si>
  <si>
    <t>Extra budget voor behandeling</t>
  </si>
  <si>
    <t>Overig</t>
  </si>
  <si>
    <t>Vervolgactie na rekenmodule</t>
  </si>
  <si>
    <t>Zorg aanvragen via iWLZ, geen extra toestemming vereist</t>
  </si>
  <si>
    <t>Rekenmodule voorleggen aan Zorgkantoor</t>
  </si>
  <si>
    <t>Verdeling aangevraagde zorg</t>
  </si>
  <si>
    <t>betaalde arbeid</t>
  </si>
  <si>
    <t>Wlz indiceerbaar</t>
  </si>
  <si>
    <t>toeslag beademing</t>
  </si>
  <si>
    <t>Eerst zorgvraag invullen</t>
  </si>
  <si>
    <t>VV</t>
  </si>
  <si>
    <t>P01</t>
  </si>
  <si>
    <t>PER UUR</t>
  </si>
  <si>
    <t>SCHNMK</t>
  </si>
  <si>
    <t>I01</t>
  </si>
  <si>
    <t>ZZP, VPT, MPT, tsl, vervoer</t>
  </si>
  <si>
    <t>NIEUW</t>
  </si>
  <si>
    <t>Dagbesteding LZA</t>
  </si>
  <si>
    <t>Verpleging zorg op afstand aanvullend</t>
  </si>
  <si>
    <t>Persoonlijke verzorging incl. beschikbaarheid</t>
  </si>
  <si>
    <t>Verpleging incl. beschikbaarheid</t>
  </si>
  <si>
    <t>P06</t>
  </si>
  <si>
    <t>PER CLIENT PER DAGDEEL</t>
  </si>
  <si>
    <t>Begeleiding incl. beschikbaarheid</t>
  </si>
  <si>
    <t>BGIND</t>
  </si>
  <si>
    <t>Begeleiding speciaal 2 (psy)</t>
  </si>
  <si>
    <t>Begeleiding zg visueel</t>
  </si>
  <si>
    <t>Begeleiding zg auditief</t>
  </si>
  <si>
    <t>Begeleiding zorg op afstand aanvullend</t>
  </si>
  <si>
    <t>Reiskosten prestaties Behandeling (H325 t/m H331 en H334 t/m H336)</t>
  </si>
  <si>
    <t>P07</t>
  </si>
  <si>
    <t>PER CONTACT</t>
  </si>
  <si>
    <t>Behandeling lvg</t>
  </si>
  <si>
    <t>Behandeling sglvg traject</t>
  </si>
  <si>
    <t>Behandeling sglvg deeltijd</t>
  </si>
  <si>
    <t>Behandeling som, pg, vg, lg, zg (SO)1</t>
  </si>
  <si>
    <t>Behandeling som, pg, vg, lg, zg (AVG)1</t>
  </si>
  <si>
    <t>H337</t>
  </si>
  <si>
    <t>Reiskosten prestaties Behandeling (H332 en H333)</t>
  </si>
  <si>
    <t>Dagbesteding basis</t>
  </si>
  <si>
    <t>Dagbesteding psychogeriatrisch</t>
  </si>
  <si>
    <t>Dagbesteding somatisch ondersteunend</t>
  </si>
  <si>
    <t>BHGRP</t>
  </si>
  <si>
    <t>Vervoer dagbesteding/ dagbehandeling V&amp;V</t>
  </si>
  <si>
    <t>P03</t>
  </si>
  <si>
    <t>PER (AANWEZIGHEIDS) DAG</t>
  </si>
  <si>
    <t>BGGRVE</t>
  </si>
  <si>
    <t>Dagbesteding VG licht</t>
  </si>
  <si>
    <t>Dagbesteding VG midden</t>
  </si>
  <si>
    <t>Dagbesteding VG zwaar</t>
  </si>
  <si>
    <t>Dagbesteding VG kind licht</t>
  </si>
  <si>
    <t>ND814</t>
  </si>
  <si>
    <t>Dagbesteding VG kind midden</t>
  </si>
  <si>
    <t>ND815</t>
  </si>
  <si>
    <t>Dagbesteding VG kind zwaar</t>
  </si>
  <si>
    <t>ND816</t>
  </si>
  <si>
    <t>ND817</t>
  </si>
  <si>
    <t xml:space="preserve">Dagbesteding VG kind gedrag </t>
  </si>
  <si>
    <t>ND818</t>
  </si>
  <si>
    <t>Dagbehandeling VG emg volwassenen</t>
  </si>
  <si>
    <t>ND819</t>
  </si>
  <si>
    <t>ND820</t>
  </si>
  <si>
    <t>ND821</t>
  </si>
  <si>
    <t>ND822</t>
  </si>
  <si>
    <t>Dagbesteding LG licht</t>
  </si>
  <si>
    <t>Dagbesteding LG midden</t>
  </si>
  <si>
    <t>Dagbesteding LG zwaar</t>
  </si>
  <si>
    <t>Dagbesteding LG kind licht</t>
  </si>
  <si>
    <t>ND834</t>
  </si>
  <si>
    <t>Dagbesteding LG kind midden</t>
  </si>
  <si>
    <t>ND835</t>
  </si>
  <si>
    <t>Dagbesteding LG kind zwaar</t>
  </si>
  <si>
    <t>ND836</t>
  </si>
  <si>
    <t>Dagbesteding ZG auditief licht</t>
  </si>
  <si>
    <t>Dagbesteding ZG auditief midden</t>
  </si>
  <si>
    <t>Dagbesteding ZG auditief zwaar</t>
  </si>
  <si>
    <t>Dagbesteding ZG kind auditief licht</t>
  </si>
  <si>
    <t>ND854</t>
  </si>
  <si>
    <t>Dagbesteding ZG kind auditief midden</t>
  </si>
  <si>
    <t>ND855</t>
  </si>
  <si>
    <t>Dagbesteding ZG kind auditief zwaar</t>
  </si>
  <si>
    <t>ND856</t>
  </si>
  <si>
    <t>Dagbesteding ZG visueel licht</t>
  </si>
  <si>
    <t/>
  </si>
  <si>
    <t>Dagbesteding ZG visueel midden</t>
  </si>
  <si>
    <t>Dagbesteding ZG visueel zwaar</t>
  </si>
  <si>
    <t>Dagbesteding ZG kind visueel licht</t>
  </si>
  <si>
    <t>ND874</t>
  </si>
  <si>
    <t>Dagbesteding ZG kind visueel midden</t>
  </si>
  <si>
    <t>ND875</t>
  </si>
  <si>
    <t>Dagbesteding ZG kind visueel zwaar</t>
  </si>
  <si>
    <t>ND876</t>
  </si>
  <si>
    <t>Dagbehandeling LVG</t>
  </si>
  <si>
    <t>Vervoer dagbesteding/ dagbehandeling kind extramuraal</t>
  </si>
  <si>
    <t>Dagbesteding VG licht (VG1-VG4)</t>
  </si>
  <si>
    <t>Intra</t>
  </si>
  <si>
    <t>Dagbesteding VG midden (VG5, VG6, VG8)</t>
  </si>
  <si>
    <t>Dagbesteding VG zwaar (VG7)</t>
  </si>
  <si>
    <t>Kapitaallasten dagbesteding VG (15%)</t>
  </si>
  <si>
    <t>BGGRKA</t>
  </si>
  <si>
    <t>Inventaris dagbesteding VG (15%)</t>
  </si>
  <si>
    <t>BGGRIN</t>
  </si>
  <si>
    <t>Dagbesteding LG licht (LG7)</t>
  </si>
  <si>
    <t>Dagbesteding LG midden (LG2, LG4, LG6)</t>
  </si>
  <si>
    <t>Dagbesteding LG zwaar (LG1, LG3, LG5)</t>
  </si>
  <si>
    <t>Kapitaallasten dagbesteding LG (15%)</t>
  </si>
  <si>
    <t>Inventaris dagbesteding LG (15%)</t>
  </si>
  <si>
    <t>Dagbesteding ZG auditief licht (ZG aud1, ZG aud4)</t>
  </si>
  <si>
    <t>Dagbesteding ZG auditief midden (ZG aud2)</t>
  </si>
  <si>
    <t>Dagbesteding ZG auditief zwaar (ZG aud3)</t>
  </si>
  <si>
    <t>Kapitaallasten dagbesteding ZG (15%)</t>
  </si>
  <si>
    <t>Inventaris dagbesteding ZG (15%)</t>
  </si>
  <si>
    <t>Dagbesteding ZG visueel licht (ZG vis2, ZG vis3)</t>
  </si>
  <si>
    <t>Dagbesteding ZG visueel midden (ZG vis1)</t>
  </si>
  <si>
    <t>Dagbesteding ZG visueel zwaar (ZG vis4, ZG vis5)</t>
  </si>
  <si>
    <t>Toeslag kind dagbesteding VG licht</t>
  </si>
  <si>
    <t>BGGRTS</t>
  </si>
  <si>
    <t>ND940</t>
  </si>
  <si>
    <t>Toeslag kind dagbesteding VG midden</t>
  </si>
  <si>
    <t>ND941</t>
  </si>
  <si>
    <t>Toeslag kind dagbesteding VG5/VG8 midden emg</t>
  </si>
  <si>
    <t>ND942</t>
  </si>
  <si>
    <t>Toeslag kind dagbesteding VG zwaar</t>
  </si>
  <si>
    <t>ND943</t>
  </si>
  <si>
    <t>Toeslag kind dagbesteding LG licht</t>
  </si>
  <si>
    <t>ND950</t>
  </si>
  <si>
    <t>Toeslag kind dagbesteding LG midden</t>
  </si>
  <si>
    <t>ND951</t>
  </si>
  <si>
    <t>Toeslag kind dagbesteding LG zwaar</t>
  </si>
  <si>
    <t>ND952</t>
  </si>
  <si>
    <t>Toeslag kind dagbesteding ZG auditief licht</t>
  </si>
  <si>
    <t>ND960</t>
  </si>
  <si>
    <t>Toeslag kind dagbesteding ZG auditief midden</t>
  </si>
  <si>
    <t>ND961</t>
  </si>
  <si>
    <t>Toeslag kind dagbesteding ZG auditief zwaar</t>
  </si>
  <si>
    <t>ND962</t>
  </si>
  <si>
    <t>Toeslag kind dagbesteding ZG visueel licht</t>
  </si>
  <si>
    <t>ND970</t>
  </si>
  <si>
    <t>Toeslag kind dagbesteding ZG visueel midden</t>
  </si>
  <si>
    <t>ND971</t>
  </si>
  <si>
    <t>Toeslag kind dagbesteding ZG visueel zwaar</t>
  </si>
  <si>
    <t>ND972</t>
  </si>
  <si>
    <t>Vervoer dagbesteding GHZ intramuraal</t>
  </si>
  <si>
    <t>VERVALLEN</t>
  </si>
  <si>
    <t>Vervoer dagbesteding GHZ rolstoel intram.</t>
  </si>
  <si>
    <t>Vervoer dagbesteding kind intramuraal</t>
  </si>
  <si>
    <t>X181</t>
  </si>
  <si>
    <t>VPT Kapitaallasten dagbesteding NHC (85%) 1 VV excl. BH</t>
  </si>
  <si>
    <t>P02</t>
  </si>
  <si>
    <t>DAGEN</t>
  </si>
  <si>
    <t>VPTKAP</t>
  </si>
  <si>
    <t>I02</t>
  </si>
  <si>
    <t>KAPITAALSLASTEN 85%</t>
  </si>
  <si>
    <t>X182</t>
  </si>
  <si>
    <t>VPT Kapitaallasten dagbesteding NHC (85%) 2 VV excl. BH</t>
  </si>
  <si>
    <t>X183</t>
  </si>
  <si>
    <t>VPT Kapitaallasten dagbesteding NHC (85%) 3 VV excl. BH</t>
  </si>
  <si>
    <t>X184</t>
  </si>
  <si>
    <t>VPT Kapitaallasten dagbesteding NHC (85%) 4 VV excl. BH</t>
  </si>
  <si>
    <t>X185</t>
  </si>
  <si>
    <t>VPT Kapitaallasten dagbesteding NHC (85%) 5 VV excl. BH</t>
  </si>
  <si>
    <t>X186</t>
  </si>
  <si>
    <t>VPT Kapitaallasten dagbesteding NHC (85%) 6 VV excl. BH</t>
  </si>
  <si>
    <t>X187</t>
  </si>
  <si>
    <t>VPT Kapitaallasten dagbesteding NHC (85%) 7 VV excl. BH</t>
  </si>
  <si>
    <t>X188</t>
  </si>
  <si>
    <t>VPT Kapitaallasten dagbesteding NHC (85%) 8 VV excl. BH</t>
  </si>
  <si>
    <t>X189</t>
  </si>
  <si>
    <t>VPT Kapitaallasten dagbesteding NHC (85%) 9b VV excl. BH</t>
  </si>
  <si>
    <t>X190</t>
  </si>
  <si>
    <t>VPT Kapitaallasten dagbesteding NHC (85%) 10 VV excl. BH</t>
  </si>
  <si>
    <t>X193</t>
  </si>
  <si>
    <t>VPT Kapitaallasten dagbesteding NHC (85%) 3 VV incl. BH</t>
  </si>
  <si>
    <t>X194</t>
  </si>
  <si>
    <t>VPT Kapitaallasten dagbesteding NHC (85%) 4 VV incl. BH</t>
  </si>
  <si>
    <t>X195</t>
  </si>
  <si>
    <t>VPT Kapitaallasten dagbesteding NHC (85%) 5 VV incl. BH</t>
  </si>
  <si>
    <t>X196</t>
  </si>
  <si>
    <t>VPT Kapitaallasten dagbesteding NHC (85%) 6 VV incl. BH</t>
  </si>
  <si>
    <t>X197</t>
  </si>
  <si>
    <t>VPT Kapitaallasten dagbesteding NHC (85%) 7 VV incl. BH</t>
  </si>
  <si>
    <t>X198</t>
  </si>
  <si>
    <t>VPT Kapitaallasten dagbesteding NHC (85%) 8 VV incl. BH</t>
  </si>
  <si>
    <t>X199</t>
  </si>
  <si>
    <t>VPT Kapitaallasten dagbesteding NHC (85%) 9b VV incl. BH</t>
  </si>
  <si>
    <t>X200</t>
  </si>
  <si>
    <t>VPT Kapitaallasten dagbesteding NHC (85%) 10 VV incl. BH</t>
  </si>
  <si>
    <t>X481</t>
  </si>
  <si>
    <t>VPT Kapitaallasten dagbesteding NHC (85%) 1 VG</t>
  </si>
  <si>
    <t>X482</t>
  </si>
  <si>
    <t>VPT Kapitaallasten dagbesteding NHC (85%) 2 VG</t>
  </si>
  <si>
    <t>X483</t>
  </si>
  <si>
    <t>VPT Kapitaallasten dagbesteding NHC (85%) 3 VG</t>
  </si>
  <si>
    <t>X484</t>
  </si>
  <si>
    <t>VPT Kapitaallasten dagbesteding NHC (85%) 4 VG</t>
  </si>
  <si>
    <t>X485</t>
  </si>
  <si>
    <t>VPT Kapitaallasten dagbesteding NHC (85%) 5 VG</t>
  </si>
  <si>
    <t>X486</t>
  </si>
  <si>
    <t>VPT Kapitaallasten dagbesteding NHC (85%) 6 VG</t>
  </si>
  <si>
    <t>X487</t>
  </si>
  <si>
    <t>VPT Kapitaallasten dagbesteding NHC (85%) 7 VG</t>
  </si>
  <si>
    <t>X488</t>
  </si>
  <si>
    <t>VPT Kapitaallasten dagbesteding NHC (85%) 8 VG</t>
  </si>
  <si>
    <t>X681</t>
  </si>
  <si>
    <t>VPT Kapitaallasten dagbesteding NHC (85%) 1 LG</t>
  </si>
  <si>
    <t>X682</t>
  </si>
  <si>
    <t>VPT Kapitaallasten dagbesteding NHC (85%) 2 LG</t>
  </si>
  <si>
    <t>X683</t>
  </si>
  <si>
    <t>VPT Kapitaallasten dagbesteding NHC (85%) 3 LG</t>
  </si>
  <si>
    <t>X684</t>
  </si>
  <si>
    <t>VPT Kapitaallasten dagbesteding NHC (85%) 4 LG</t>
  </si>
  <si>
    <t>X685</t>
  </si>
  <si>
    <t>VPT Kapitaallasten dagbesteding NHC (85%) 5 LG</t>
  </si>
  <si>
    <t>X686</t>
  </si>
  <si>
    <t>VPT Kapitaallasten dagbesteding NHC (85%) 6 LG</t>
  </si>
  <si>
    <t>X687</t>
  </si>
  <si>
    <t>VPT Kapitaallasten dagbesteding NHC (85%) 7 LG</t>
  </si>
  <si>
    <t>X781</t>
  </si>
  <si>
    <t>VPT Kapitaallasten dagbesteding NHC (85%) 1 ZG-aud</t>
  </si>
  <si>
    <t>X782</t>
  </si>
  <si>
    <t>VPT Kapitaallasten dagbesteding NHC (85%) 2 ZG-aud</t>
  </si>
  <si>
    <t>X783</t>
  </si>
  <si>
    <t>VPT Kapitaallasten dagbesteding NHC (85%) 3 ZG-aud</t>
  </si>
  <si>
    <t>X784</t>
  </si>
  <si>
    <t>VPT Kapitaallasten dagbesteding NHC (85%) 4 ZG-aud</t>
  </si>
  <si>
    <t>X881</t>
  </si>
  <si>
    <t>VPT Kapitaallasten dagbesteding NHC (85%) 1 ZG-vis</t>
  </si>
  <si>
    <t>X882</t>
  </si>
  <si>
    <t>VPT Kapitaallasten dagbesteding NHC (85%) 2 ZG-vis</t>
  </si>
  <si>
    <t>X883</t>
  </si>
  <si>
    <t>VPT Kapitaallasten dagbesteding NHC (85%) 3 ZG-vis</t>
  </si>
  <si>
    <t>X884</t>
  </si>
  <si>
    <t>VPT Kapitaallasten dagbesteding NHC (85%) 4 ZG-vis</t>
  </si>
  <si>
    <t>X885</t>
  </si>
  <si>
    <t>VPT Kapitaallasten dagbesteding NHC (85%) 5 ZG-vis</t>
  </si>
  <si>
    <t>5VG excl. BH excl.DB</t>
  </si>
  <si>
    <t>V880</t>
  </si>
  <si>
    <t>Opslag kapitaallasten dagbesteding (15%) VG (vb excl. bh) VPT</t>
  </si>
  <si>
    <t>V881</t>
  </si>
  <si>
    <t>Opslag kapitaallasten dagbesteding (15%) LG (vb excl. bh) VPT</t>
  </si>
  <si>
    <t>V882</t>
  </si>
  <si>
    <t>Opslag kapitaallasten dagbesteding (15%) ZG (vb excl. bh.) VPT</t>
  </si>
  <si>
    <t>V890</t>
  </si>
  <si>
    <t>Opslag inventaris dagbesteding (15% VG (verblijf exclusief behandeling)</t>
  </si>
  <si>
    <t>VPTINV</t>
  </si>
  <si>
    <t>V891</t>
  </si>
  <si>
    <t>Opslag inventaris dagbesteding (15% LG (verblijf exclusief behandeling)</t>
  </si>
  <si>
    <t>V892</t>
  </si>
  <si>
    <t>Opslag inventaris dagbesteding (15% ZG (verblijf exclusief behandeling)</t>
  </si>
  <si>
    <t>V901</t>
  </si>
  <si>
    <t>Vervoer dagbesteding V&amp;V</t>
  </si>
  <si>
    <t>VPTVER</t>
  </si>
  <si>
    <t>V903</t>
  </si>
  <si>
    <t>V904</t>
  </si>
  <si>
    <t>Vervoer dagbesteding GHZ rolstoel intramuraal</t>
  </si>
  <si>
    <t>V905</t>
  </si>
  <si>
    <t>V910</t>
  </si>
  <si>
    <t>Toeslag CVA</t>
  </si>
  <si>
    <t>VPTTSL</t>
  </si>
  <si>
    <t>V913</t>
  </si>
  <si>
    <t>Toeslag dagbesteding GHZ kind - licht</t>
  </si>
  <si>
    <t>V914</t>
  </si>
  <si>
    <t>Toeslag dagbesteding GHZ kind - midden</t>
  </si>
  <si>
    <t>V915</t>
  </si>
  <si>
    <t>Toeslag dagbesteding GHZ kind - zwaar</t>
  </si>
  <si>
    <t>V918</t>
  </si>
  <si>
    <t>Toeslag invasieve beademing</t>
  </si>
  <si>
    <t>V919</t>
  </si>
  <si>
    <t>Toeslag dagbesteding GHZ kind - VG5 midden EMG</t>
  </si>
  <si>
    <t>V920</t>
  </si>
  <si>
    <t>Toeslag Huntington</t>
  </si>
  <si>
    <t>V921</t>
  </si>
  <si>
    <t>Toeslag Toeslag non-invasieve beademing</t>
  </si>
  <si>
    <t>V975</t>
  </si>
  <si>
    <t>Toeslag gespecialiseerde epilepsiezorg (GEZ) - licht</t>
  </si>
  <si>
    <t>V976</t>
  </si>
  <si>
    <t>Toeslag gespecialiseerde epilepsiezorg (GEZ) - midden</t>
  </si>
  <si>
    <t>V977</t>
  </si>
  <si>
    <t>Toeslag gespecialiseerde epilepsiezorg (GEZ) - zwaar</t>
  </si>
  <si>
    <t>V978</t>
  </si>
  <si>
    <t>Toeslag woonzorg GHZ kind (0 t/m 11 jaar)</t>
  </si>
  <si>
    <t>V979</t>
  </si>
  <si>
    <t>Toeslag woonzorg GHZ jeugd (12 t/m 17 jaar)</t>
  </si>
  <si>
    <t>V980</t>
  </si>
  <si>
    <t>Toeslag woonzorg GHZ jong volwassenen (18 t/m 22 jaar)</t>
  </si>
  <si>
    <t>V981</t>
  </si>
  <si>
    <t>Toeslag gespecialiseerde behandelzorg</t>
  </si>
  <si>
    <t>X916</t>
  </si>
  <si>
    <t>Toeslag kinderdagcentra GHZ (KDC) (NHC 85%)</t>
  </si>
  <si>
    <t>ZZPKAP</t>
  </si>
  <si>
    <t>Y491</t>
  </si>
  <si>
    <t>Kapitaallasten dagbesteding VG NHC (85%) 1 VG</t>
  </si>
  <si>
    <t>Y492</t>
  </si>
  <si>
    <t>Kapitaallasten dagbesteding VG NHC (85%) 2 VG</t>
  </si>
  <si>
    <t>Y493</t>
  </si>
  <si>
    <t>Kapitaallasten dagbesteding VG NHC (85%) 3 VG</t>
  </si>
  <si>
    <t>Y494</t>
  </si>
  <si>
    <t>Kapitaallasten dagbesteding VG NHC (85%) 4 VG</t>
  </si>
  <si>
    <t>Y495</t>
  </si>
  <si>
    <t>Kapitaallasten dagbesteding VG NHC (85%) 5 VG</t>
  </si>
  <si>
    <t>Y496</t>
  </si>
  <si>
    <t>Kapitaallasten dagbesteding VG NHC (85%) 6 VG</t>
  </si>
  <si>
    <t>Y497</t>
  </si>
  <si>
    <t>Kapitaallasten dagbesteding VG NHC (85%) 7 VG</t>
  </si>
  <si>
    <t>Y498</t>
  </si>
  <si>
    <t>Kapitaallasten dagbesteding VG NHC (85%) 8 VG</t>
  </si>
  <si>
    <t>Y691</t>
  </si>
  <si>
    <t>Kapitaallasten dagbesteding LG NHC (85%)  1 LG</t>
  </si>
  <si>
    <t>Y692</t>
  </si>
  <si>
    <t>Kapitaallasten dagbesteding LG NHC (85%)  2 LG</t>
  </si>
  <si>
    <t>Y693</t>
  </si>
  <si>
    <t>Kapitaallasten dagbesteding LG NHC (85%)  3 LG</t>
  </si>
  <si>
    <t>Y694</t>
  </si>
  <si>
    <t>Kapitaallasten dagbesteding LG NHC (85%)  4 LG</t>
  </si>
  <si>
    <t>Y695</t>
  </si>
  <si>
    <t>Kapitaallasten dagbesteding LG NHC (85%)  5 LG</t>
  </si>
  <si>
    <t>Y696</t>
  </si>
  <si>
    <t>Kapitaallasten dagbesteding LG NHC (85%)  6 LG</t>
  </si>
  <si>
    <t>Y697</t>
  </si>
  <si>
    <t>Kapitaallasten dagbesteding LG NHC (85%)  7 LG</t>
  </si>
  <si>
    <t>Y791</t>
  </si>
  <si>
    <t>Kapitaallasten dagbesteding NHC (85%)  1 ZG-aud</t>
  </si>
  <si>
    <t>Y792</t>
  </si>
  <si>
    <t>Kapitaallasten dagbesteding NHC (85%)  2 ZG-aud</t>
  </si>
  <si>
    <t>Y793</t>
  </si>
  <si>
    <t>Kapitaallasten dagbesteding NHC (85%)  3 ZG-aud</t>
  </si>
  <si>
    <t>Y794</t>
  </si>
  <si>
    <t>Kapitaallasten dagbesteding NHC (85%)  4 ZG-aud</t>
  </si>
  <si>
    <t>Y891</t>
  </si>
  <si>
    <t>Kapitaallasten dagbesteding ZG-visueel NHC (85%)  1 ZG-vis</t>
  </si>
  <si>
    <t>Y892</t>
  </si>
  <si>
    <t>Kapitaallasten dagbesteding ZG-visueel NHC (85%)  2 ZG-vis</t>
  </si>
  <si>
    <t>Y893</t>
  </si>
  <si>
    <t>Kapitaallasten dagbesteding ZG-visueel NHC (85%)  3 ZG-vis</t>
  </si>
  <si>
    <t>Y894</t>
  </si>
  <si>
    <t>Kapitaallasten dagbesteding ZG-visueel NHC (85%)  4 ZG-vis</t>
  </si>
  <si>
    <t>Y895</t>
  </si>
  <si>
    <t>Kapitaallasten dagbesteding ZG-visueel NHC (85%)  5 ZG-vis</t>
  </si>
  <si>
    <t>Z001</t>
  </si>
  <si>
    <t>ZZP-meerzorg woonzorg GHZ</t>
  </si>
  <si>
    <t>ZZPMZ</t>
  </si>
  <si>
    <t>Z002</t>
  </si>
  <si>
    <t>ZZP-meerzorg dagbesteding GHZ</t>
  </si>
  <si>
    <t>Z003</t>
  </si>
  <si>
    <t>ZZP-meerzorg behandeling GHZ</t>
  </si>
  <si>
    <t>Z004</t>
  </si>
  <si>
    <t>ZZP-meerzorg woonzorg V&amp;V</t>
  </si>
  <si>
    <t>Z005</t>
  </si>
  <si>
    <t>ZZP-meerzorg dagbesteding V&amp;V</t>
  </si>
  <si>
    <t>Z006</t>
  </si>
  <si>
    <t>ZZP-meerzorg behandeling V&amp;V</t>
  </si>
  <si>
    <t>Z007</t>
  </si>
  <si>
    <t>ZZP-meerzorg woonzorg GGZ</t>
  </si>
  <si>
    <t>Z008</t>
  </si>
  <si>
    <t>ZZP-meerzorg dagbesteding GGZ</t>
  </si>
  <si>
    <t>Z009</t>
  </si>
  <si>
    <t>ZZP-meerzorg behandeling GGZ</t>
  </si>
  <si>
    <t>ZZPLG</t>
  </si>
  <si>
    <t>NZ015</t>
  </si>
  <si>
    <t>IZ015</t>
  </si>
  <si>
    <t>NZ025</t>
  </si>
  <si>
    <t>IZ025</t>
  </si>
  <si>
    <t>NZ031</t>
  </si>
  <si>
    <t>IZ031</t>
  </si>
  <si>
    <t>NZ033</t>
  </si>
  <si>
    <t>IZ033</t>
  </si>
  <si>
    <t>ZZPHG</t>
  </si>
  <si>
    <t>NZ041</t>
  </si>
  <si>
    <t>IZ041</t>
  </si>
  <si>
    <t>NZ043</t>
  </si>
  <si>
    <t>IZ043</t>
  </si>
  <si>
    <t>NZ051</t>
  </si>
  <si>
    <t>IZ051</t>
  </si>
  <si>
    <t>NZ053</t>
  </si>
  <si>
    <t>IZ053</t>
  </si>
  <si>
    <t>NZ061</t>
  </si>
  <si>
    <t>IZ061</t>
  </si>
  <si>
    <t>NZ063</t>
  </si>
  <si>
    <t>IZ063</t>
  </si>
  <si>
    <t>NZ071</t>
  </si>
  <si>
    <t>IZ071</t>
  </si>
  <si>
    <t>NZ073</t>
  </si>
  <si>
    <t>IZ073</t>
  </si>
  <si>
    <t>NZ081</t>
  </si>
  <si>
    <t>IZ081</t>
  </si>
  <si>
    <t>NZ083</t>
  </si>
  <si>
    <t>IZ083</t>
  </si>
  <si>
    <t>9bVV excl.BH incl.DB Herstelgerichte behandeling met verpleging en verzorging</t>
  </si>
  <si>
    <t>NZ095</t>
  </si>
  <si>
    <t>IZ095</t>
  </si>
  <si>
    <t>9bVV incl.BH incl.DB Herstelgerichte behandeling met verpleging en verzorging</t>
  </si>
  <si>
    <t>NZ097</t>
  </si>
  <si>
    <t>IZ097</t>
  </si>
  <si>
    <t>NZ101</t>
  </si>
  <si>
    <t>IZ101</t>
  </si>
  <si>
    <t>NZ103</t>
  </si>
  <si>
    <t>IZ103</t>
  </si>
  <si>
    <t>Z110</t>
  </si>
  <si>
    <t>Crisisopvang/ spoedzorg V&amp;V met behandeling</t>
  </si>
  <si>
    <t>ZZPCRS</t>
  </si>
  <si>
    <t>NZ110</t>
  </si>
  <si>
    <t>IZ110</t>
  </si>
  <si>
    <t>1GGZ-B incl.BH excl.DB</t>
  </si>
  <si>
    <t>NZ212</t>
  </si>
  <si>
    <t>IZ212</t>
  </si>
  <si>
    <t>1GGZ-B incl.BH incl.DB</t>
  </si>
  <si>
    <t>NZ213</t>
  </si>
  <si>
    <t>IZ213</t>
  </si>
  <si>
    <t>2GGZ-B incl.BH excl.DB</t>
  </si>
  <si>
    <t>NZ222</t>
  </si>
  <si>
    <t>IZ222</t>
  </si>
  <si>
    <t>2GGZ-B incl.BH incl.DB</t>
  </si>
  <si>
    <t>NZ223</t>
  </si>
  <si>
    <t>IZ223</t>
  </si>
  <si>
    <t>3GGZ-B incl.BH excl.DB</t>
  </si>
  <si>
    <t>NZ232</t>
  </si>
  <si>
    <t>IZ232</t>
  </si>
  <si>
    <t>3GGZ-B incl.BH incl.DB</t>
  </si>
  <si>
    <t>NZ233</t>
  </si>
  <si>
    <t>IZ233</t>
  </si>
  <si>
    <t>4GGZ-B incl.BH excl.DB</t>
  </si>
  <si>
    <t>NZ242</t>
  </si>
  <si>
    <t>IZ242</t>
  </si>
  <si>
    <t>4GGZ-B incl.BH incl.DB</t>
  </si>
  <si>
    <t>NZ243</t>
  </si>
  <si>
    <t>IZ243</t>
  </si>
  <si>
    <t>5GGZ-B incl.BH excl.DB</t>
  </si>
  <si>
    <t>NZ252</t>
  </si>
  <si>
    <t>IZ252</t>
  </si>
  <si>
    <t>5GGZ-B incl.BH incl.DB</t>
  </si>
  <si>
    <t>NZ253</t>
  </si>
  <si>
    <t>IZ253</t>
  </si>
  <si>
    <t>6GGZ-B incl.BH excl.DB</t>
  </si>
  <si>
    <t>NZ262</t>
  </si>
  <si>
    <t>IZ262</t>
  </si>
  <si>
    <t>6GGZ-B incl.BH incl.DB</t>
  </si>
  <si>
    <t>NZ263</t>
  </si>
  <si>
    <t>IZ263</t>
  </si>
  <si>
    <t>7GGZ-B incl.BH excl.DB</t>
  </si>
  <si>
    <t>NZ272</t>
  </si>
  <si>
    <t>IZ272</t>
  </si>
  <si>
    <t>7GGZ-B incl.BH incl.DB</t>
  </si>
  <si>
    <t>NZ273</t>
  </si>
  <si>
    <t>IZ273</t>
  </si>
  <si>
    <t>Z280</t>
  </si>
  <si>
    <t>Klinisch Intensieve Behandeling</t>
  </si>
  <si>
    <t>NZ280</t>
  </si>
  <si>
    <t>IZ280</t>
  </si>
  <si>
    <t>NZ414</t>
  </si>
  <si>
    <t>IZ414</t>
  </si>
  <si>
    <t>NZ415</t>
  </si>
  <si>
    <t>IZ415</t>
  </si>
  <si>
    <t>NZ424</t>
  </si>
  <si>
    <t>IZ424</t>
  </si>
  <si>
    <t>NZ425</t>
  </si>
  <si>
    <t>IZ425</t>
  </si>
  <si>
    <t>NZ430</t>
  </si>
  <si>
    <t>IZ430</t>
  </si>
  <si>
    <t>NZ431</t>
  </si>
  <si>
    <t>IZ431</t>
  </si>
  <si>
    <t>NZ432</t>
  </si>
  <si>
    <t>IZ432</t>
  </si>
  <si>
    <t>NZ433</t>
  </si>
  <si>
    <t>IZ433</t>
  </si>
  <si>
    <t>NZ440</t>
  </si>
  <si>
    <t>IZ440</t>
  </si>
  <si>
    <t>NZ441</t>
  </si>
  <si>
    <t>IZ441</t>
  </si>
  <si>
    <t>NZ442</t>
  </si>
  <si>
    <t>IZ442</t>
  </si>
  <si>
    <t>NZ443</t>
  </si>
  <si>
    <t>IZ443</t>
  </si>
  <si>
    <t>NZ454</t>
  </si>
  <si>
    <t>IZ454</t>
  </si>
  <si>
    <t>NZ455</t>
  </si>
  <si>
    <t>IZ455</t>
  </si>
  <si>
    <t>NZ456</t>
  </si>
  <si>
    <t>IZ456</t>
  </si>
  <si>
    <t>NZ457</t>
  </si>
  <si>
    <t>IZ457</t>
  </si>
  <si>
    <t>NZ460</t>
  </si>
  <si>
    <t>IZ460</t>
  </si>
  <si>
    <t>NZ461</t>
  </si>
  <si>
    <t>IZ461</t>
  </si>
  <si>
    <t>NZ462</t>
  </si>
  <si>
    <t>IZ462</t>
  </si>
  <si>
    <t>NZ463</t>
  </si>
  <si>
    <t>IZ463</t>
  </si>
  <si>
    <t>NZ470</t>
  </si>
  <si>
    <t>IZ470</t>
  </si>
  <si>
    <t>NZ471</t>
  </si>
  <si>
    <t>IZ471</t>
  </si>
  <si>
    <t>NZ472</t>
  </si>
  <si>
    <t>IZ472</t>
  </si>
  <si>
    <t>NZ473</t>
  </si>
  <si>
    <t>IZ473</t>
  </si>
  <si>
    <t>NZ480</t>
  </si>
  <si>
    <t>IZ480</t>
  </si>
  <si>
    <t>NZ481</t>
  </si>
  <si>
    <t>IZ481</t>
  </si>
  <si>
    <t>NZ482</t>
  </si>
  <si>
    <t>IZ482</t>
  </si>
  <si>
    <t>NZ483</t>
  </si>
  <si>
    <t>IZ483</t>
  </si>
  <si>
    <t>Z490</t>
  </si>
  <si>
    <t>Crisisopvang/ spoedzorg GHZ VG zonder behandeling</t>
  </si>
  <si>
    <t>NZ490</t>
  </si>
  <si>
    <t>IZ490</t>
  </si>
  <si>
    <t>Z491</t>
  </si>
  <si>
    <t>Crisisopvang/ spoedzorg GHZ VG met behandeling</t>
  </si>
  <si>
    <t>NZ491</t>
  </si>
  <si>
    <t>IZ491</t>
  </si>
  <si>
    <t>NZ513</t>
  </si>
  <si>
    <t>IZ513</t>
  </si>
  <si>
    <t>NZ523</t>
  </si>
  <si>
    <t>IZ523</t>
  </si>
  <si>
    <t>NZ533</t>
  </si>
  <si>
    <t>IZ533</t>
  </si>
  <si>
    <t>NZ543</t>
  </si>
  <si>
    <t>IZ543</t>
  </si>
  <si>
    <t>NZ553</t>
  </si>
  <si>
    <t>IZ553</t>
  </si>
  <si>
    <t>Z560</t>
  </si>
  <si>
    <t>Crisisopvang/ spoedzorg LVG</t>
  </si>
  <si>
    <t>NZ560</t>
  </si>
  <si>
    <t>IZ560</t>
  </si>
  <si>
    <t>NZ573</t>
  </si>
  <si>
    <t>IZ573</t>
  </si>
  <si>
    <t>NZ614</t>
  </si>
  <si>
    <t>IZ614</t>
  </si>
  <si>
    <t>NZ615</t>
  </si>
  <si>
    <t>IZ615</t>
  </si>
  <si>
    <t>NZ624</t>
  </si>
  <si>
    <t>IZ624</t>
  </si>
  <si>
    <t>NZ625</t>
  </si>
  <si>
    <t>IZ625</t>
  </si>
  <si>
    <t>NZ630</t>
  </si>
  <si>
    <t>IZ630</t>
  </si>
  <si>
    <t>NZ631</t>
  </si>
  <si>
    <t>IZ631</t>
  </si>
  <si>
    <t>NZ632</t>
  </si>
  <si>
    <t>IZ632</t>
  </si>
  <si>
    <t>NZ633</t>
  </si>
  <si>
    <t>IZ633</t>
  </si>
  <si>
    <t>NZ640</t>
  </si>
  <si>
    <t>IZ640</t>
  </si>
  <si>
    <t>NZ641</t>
  </si>
  <si>
    <t>IZ641</t>
  </si>
  <si>
    <t>NZ642</t>
  </si>
  <si>
    <t>IZ642</t>
  </si>
  <si>
    <t>NZ643</t>
  </si>
  <si>
    <t>IZ643</t>
  </si>
  <si>
    <t>NZ650</t>
  </si>
  <si>
    <t>IZ650</t>
  </si>
  <si>
    <t>NZ651</t>
  </si>
  <si>
    <t>IZ651</t>
  </si>
  <si>
    <t>NZ652</t>
  </si>
  <si>
    <t>IZ652</t>
  </si>
  <si>
    <t>NZ653</t>
  </si>
  <si>
    <t>IZ653</t>
  </si>
  <si>
    <t>NZ660</t>
  </si>
  <si>
    <t>IZ660</t>
  </si>
  <si>
    <t>NZ661</t>
  </si>
  <si>
    <t>IZ661</t>
  </si>
  <si>
    <t>NZ662</t>
  </si>
  <si>
    <t>IZ662</t>
  </si>
  <si>
    <t>NZ663</t>
  </si>
  <si>
    <t>IZ663</t>
  </si>
  <si>
    <t>NZ670</t>
  </si>
  <si>
    <t>IZ670</t>
  </si>
  <si>
    <t>NZ671</t>
  </si>
  <si>
    <t>IZ671</t>
  </si>
  <si>
    <t>NZ672</t>
  </si>
  <si>
    <t>IZ672</t>
  </si>
  <si>
    <t>NZ673</t>
  </si>
  <si>
    <t>IZ673</t>
  </si>
  <si>
    <t>NZ710</t>
  </si>
  <si>
    <t>IZ710</t>
  </si>
  <si>
    <t>NZ711</t>
  </si>
  <si>
    <t>IZ711</t>
  </si>
  <si>
    <t>NZ712</t>
  </si>
  <si>
    <t>IZ712</t>
  </si>
  <si>
    <t>NZ713</t>
  </si>
  <si>
    <t>IZ713</t>
  </si>
  <si>
    <t>NZ720</t>
  </si>
  <si>
    <t>IZ720</t>
  </si>
  <si>
    <t>NZ721</t>
  </si>
  <si>
    <t>IZ721</t>
  </si>
  <si>
    <t>NZ722</t>
  </si>
  <si>
    <t>IZ722</t>
  </si>
  <si>
    <t>NZ723</t>
  </si>
  <si>
    <t>IZ723</t>
  </si>
  <si>
    <t>NZ730</t>
  </si>
  <si>
    <t>IZ730</t>
  </si>
  <si>
    <t>NZ731</t>
  </si>
  <si>
    <t>IZ731</t>
  </si>
  <si>
    <t>NZ732</t>
  </si>
  <si>
    <t>IZ732</t>
  </si>
  <si>
    <t>NZ733</t>
  </si>
  <si>
    <t>IZ733</t>
  </si>
  <si>
    <t>NZ740</t>
  </si>
  <si>
    <t>IZ740</t>
  </si>
  <si>
    <t>NZ741</t>
  </si>
  <si>
    <t>IZ741</t>
  </si>
  <si>
    <t>NZ742</t>
  </si>
  <si>
    <t>IZ742</t>
  </si>
  <si>
    <t>NZ743</t>
  </si>
  <si>
    <t>IZ743</t>
  </si>
  <si>
    <t>NZ814</t>
  </si>
  <si>
    <t>IZ814</t>
  </si>
  <si>
    <t>NZ815</t>
  </si>
  <si>
    <t>IZ815</t>
  </si>
  <si>
    <t>NZ824</t>
  </si>
  <si>
    <t>IZ824</t>
  </si>
  <si>
    <t>NZ825</t>
  </si>
  <si>
    <t>IZ825</t>
  </si>
  <si>
    <t>NZ830</t>
  </si>
  <si>
    <t>IZ830</t>
  </si>
  <si>
    <t>NZ831</t>
  </si>
  <si>
    <t>IZ831</t>
  </si>
  <si>
    <t>NZ832</t>
  </si>
  <si>
    <t>IZ832</t>
  </si>
  <si>
    <t>NZ833</t>
  </si>
  <si>
    <t>IZ833</t>
  </si>
  <si>
    <t>NZ840</t>
  </si>
  <si>
    <t>IZ840</t>
  </si>
  <si>
    <t>NZ841</t>
  </si>
  <si>
    <t>IZ841</t>
  </si>
  <si>
    <t>NZ842</t>
  </si>
  <si>
    <t>IZ842</t>
  </si>
  <si>
    <t>NZ843</t>
  </si>
  <si>
    <t>IZ843</t>
  </si>
  <si>
    <t>NZ850</t>
  </si>
  <si>
    <t>IZ850</t>
  </si>
  <si>
    <t>NZ851</t>
  </si>
  <si>
    <t>IZ851</t>
  </si>
  <si>
    <t>NZ852</t>
  </si>
  <si>
    <t>IZ852</t>
  </si>
  <si>
    <t>NZ853</t>
  </si>
  <si>
    <t>IZ853</t>
  </si>
  <si>
    <t>Z880</t>
  </si>
  <si>
    <t>Opslag kapitaallasten dagbesteding (15%) VG (vb excl bh)</t>
  </si>
  <si>
    <t>Z881</t>
  </si>
  <si>
    <t>Opslag kapitaallasten dagbesteding (15%) LG (vb excl bh)</t>
  </si>
  <si>
    <t>Z882</t>
  </si>
  <si>
    <t>Opslag kapitaallasten dagbesteding (15%) ZG (vb excl bh)</t>
  </si>
  <si>
    <t>Z883</t>
  </si>
  <si>
    <t>Opslag kapitaallasten 1GGZ-B (15%)</t>
  </si>
  <si>
    <t>Z884</t>
  </si>
  <si>
    <t>Opslag kapitaallasten 2GGZ-B (15%)</t>
  </si>
  <si>
    <t>Z885</t>
  </si>
  <si>
    <t>Opslag kapitaallasten 3GGZ-B (15%)</t>
  </si>
  <si>
    <t>Z886</t>
  </si>
  <si>
    <t>Opslag kapitaallasten 4GGZ-B (15%)</t>
  </si>
  <si>
    <t>Z887</t>
  </si>
  <si>
    <t>Opslag kapitaallasten 5GGZ-B (15%)</t>
  </si>
  <si>
    <t>Z888</t>
  </si>
  <si>
    <t>Opslag kapitaallasten 6GGZ-B (15%)</t>
  </si>
  <si>
    <t>Z889</t>
  </si>
  <si>
    <t>Opslag kapitaallasten 7GGZ-B (15%)</t>
  </si>
  <si>
    <t>Z890</t>
  </si>
  <si>
    <t>Opslag inventaris dagbesteding (15%) VG (vb excl bh)</t>
  </si>
  <si>
    <t>ZZPINV</t>
  </si>
  <si>
    <t>Z891</t>
  </si>
  <si>
    <t>Opslag inventaris dagbesteding (15%) LG (vb excl bh)</t>
  </si>
  <si>
    <t>Z892</t>
  </si>
  <si>
    <t>Opslag inventaris dagbesteding (15%) ZG (vb excl bh)</t>
  </si>
  <si>
    <t>Z893</t>
  </si>
  <si>
    <t>Opslag inventaris 1 GGZ-B</t>
  </si>
  <si>
    <t>Z894</t>
  </si>
  <si>
    <t>Opslag inventaris 2 GGZ-B</t>
  </si>
  <si>
    <t>Z895</t>
  </si>
  <si>
    <t>Opslag inventaris 3 GGZ-B</t>
  </si>
  <si>
    <t>Z896</t>
  </si>
  <si>
    <t>Opslag inventaris 4 GGZ-B</t>
  </si>
  <si>
    <t>Z897</t>
  </si>
  <si>
    <t>Opslag inventaris 5 GGZ-B</t>
  </si>
  <si>
    <t>Z898</t>
  </si>
  <si>
    <t>Opslag inventaris 6 GGZ-B</t>
  </si>
  <si>
    <t>Z899</t>
  </si>
  <si>
    <t>Opslag inventaris 7 GGZ-B</t>
  </si>
  <si>
    <t>Z901</t>
  </si>
  <si>
    <t>ZZPVER</t>
  </si>
  <si>
    <t>Z902</t>
  </si>
  <si>
    <t>Vervoer dagbesteding GGZ</t>
  </si>
  <si>
    <t>Z903</t>
  </si>
  <si>
    <t>Z904</t>
  </si>
  <si>
    <t>Z905</t>
  </si>
  <si>
    <t>Vervoer dagbesteding Kind intramuraal</t>
  </si>
  <si>
    <t>Z910</t>
  </si>
  <si>
    <t>Toeslag Cerebro Vasculair Accident (CVA)</t>
  </si>
  <si>
    <t>ZZPTSL</t>
  </si>
  <si>
    <t>Z911</t>
  </si>
  <si>
    <t>Toeslag Multifunctioneel centrum (MFC)</t>
  </si>
  <si>
    <t>Z912</t>
  </si>
  <si>
    <t>Toeslag Observatie</t>
  </si>
  <si>
    <t>Z913</t>
  </si>
  <si>
    <t>Z914</t>
  </si>
  <si>
    <t>Z915</t>
  </si>
  <si>
    <t>Z916</t>
  </si>
  <si>
    <t>Mutatiedag (V&amp;V), niet toegelaten voor behandeling</t>
  </si>
  <si>
    <t>ZZPMUT</t>
  </si>
  <si>
    <t>NZ916</t>
  </si>
  <si>
    <t>IZ916</t>
  </si>
  <si>
    <t>Z917</t>
  </si>
  <si>
    <t>Mutatiedag (V&amp;V), toegelaten voor behandeling</t>
  </si>
  <si>
    <t>NZ917</t>
  </si>
  <si>
    <t>IZ917</t>
  </si>
  <si>
    <t>Z918</t>
  </si>
  <si>
    <t>Z919</t>
  </si>
  <si>
    <t>Toeslag dagbesteding GHZ kind - VG5/VG8 midden EMG</t>
  </si>
  <si>
    <t>Z920</t>
  </si>
  <si>
    <t>Z921</t>
  </si>
  <si>
    <t>Toeslag Non-invasieve beademing</t>
  </si>
  <si>
    <t>Z922</t>
  </si>
  <si>
    <t>Toeslag Niet strafrechtelijke forensische psychiatrie</t>
  </si>
  <si>
    <t>Z975</t>
  </si>
  <si>
    <t>Toeslag gespecialiseerde epilepsiezorg (GEZ) laag</t>
  </si>
  <si>
    <t>Z976</t>
  </si>
  <si>
    <t>Toeslag gespecialiseerde epilepsiezorg (GEZ) midden</t>
  </si>
  <si>
    <t>Z977</t>
  </si>
  <si>
    <t>Toeslag gespecialiseerde epilepsiezorg (GEZ) hoog</t>
  </si>
  <si>
    <t>Z978</t>
  </si>
  <si>
    <t>Z979</t>
  </si>
  <si>
    <t>Z980</t>
  </si>
  <si>
    <t>Z981</t>
  </si>
  <si>
    <t>Toeslag gespecialiseerde behandelzorg (in uren)</t>
  </si>
  <si>
    <t>Z982</t>
  </si>
  <si>
    <t>Toeslag woonzorg GGZ jong volwassen</t>
  </si>
  <si>
    <t>Verblijfscomp. VV niet geïnd. partner</t>
  </si>
  <si>
    <t>ZZPVBC</t>
  </si>
  <si>
    <t>NZ995</t>
  </si>
  <si>
    <t>IZ995</t>
  </si>
  <si>
    <t>Verblijfscomp. niet geïndiceerde partner GHZ: VG en LG</t>
  </si>
  <si>
    <t>NZ997</t>
  </si>
  <si>
    <t>IZ997</t>
  </si>
  <si>
    <t>Verblijfscomp. niet geïndiceerde partner GHZ: ZG</t>
  </si>
  <si>
    <t>NZ998</t>
  </si>
  <si>
    <t>IZ998</t>
  </si>
  <si>
    <t>Z999</t>
  </si>
  <si>
    <t>Logeren GHZ-vg</t>
  </si>
  <si>
    <t>NZ999</t>
  </si>
  <si>
    <t>IZ999</t>
  </si>
  <si>
    <t>Z1000</t>
  </si>
  <si>
    <t>Logeren GHZ-lg</t>
  </si>
  <si>
    <t>NZ1000</t>
  </si>
  <si>
    <t>IZ1000</t>
  </si>
  <si>
    <t>Z1001</t>
  </si>
  <si>
    <t>Logeren GHZ-lvg</t>
  </si>
  <si>
    <t>NZ1001</t>
  </si>
  <si>
    <t>IZ1001</t>
  </si>
  <si>
    <t>Z1002</t>
  </si>
  <si>
    <t>Logeren GHZ-zg</t>
  </si>
  <si>
    <t>NZ1002</t>
  </si>
  <si>
    <t>IZ1002</t>
  </si>
  <si>
    <t>Z1003</t>
  </si>
  <si>
    <t>Logeren VV</t>
  </si>
  <si>
    <t>NZ1003</t>
  </si>
  <si>
    <t>IZ1003</t>
  </si>
  <si>
    <t>OWT-Z041</t>
  </si>
  <si>
    <t>Opslag Waardigheid en Trots ZZP 4VV excl. BH</t>
  </si>
  <si>
    <t>opslag W&amp;T</t>
  </si>
  <si>
    <t>OWT-Z051</t>
  </si>
  <si>
    <t>Opslag Waardigheid en Trots ZZP 5VV excl. BH</t>
  </si>
  <si>
    <t>OWT-Z061</t>
  </si>
  <si>
    <t>Opslag Waardigheid en Trots ZZP 6VV excl. BH</t>
  </si>
  <si>
    <t>OWT-Z071</t>
  </si>
  <si>
    <t>Opslag Waardigheid en Trots ZZP 7VV excl. BH</t>
  </si>
  <si>
    <t>OWT-Z081</t>
  </si>
  <si>
    <t>Opslag Waardigheid en Trots ZZP 8VV excl. BH</t>
  </si>
  <si>
    <t>OWT-Z095</t>
  </si>
  <si>
    <t>Opslag Waardigheid en Trots ZZP 9bVV excl. BH</t>
  </si>
  <si>
    <t>OWT-Z101</t>
  </si>
  <si>
    <t>Opslag Waardigheid en Trots ZZP 10VV excl. BH</t>
  </si>
  <si>
    <t>OWT-Z043</t>
  </si>
  <si>
    <t>Opslag Waardigheid en Trots ZZP 4VV incl. BH</t>
  </si>
  <si>
    <t>OWT-Z053</t>
  </si>
  <si>
    <t>Opslag Waardigheid en Trots ZZP 5VV incl. BH</t>
  </si>
  <si>
    <t>OWT-Z063</t>
  </si>
  <si>
    <t>Opslag Waardigheid en Trots ZZP 6VV incl. BH</t>
  </si>
  <si>
    <t>OWT-Z073</t>
  </si>
  <si>
    <t>Opslag Waardigheid en Trots ZZP 7VV incl. BH</t>
  </si>
  <si>
    <t>OWT-Z083</t>
  </si>
  <si>
    <t>Opslag Waardigheid en Trots ZZP 8VV incl. BH</t>
  </si>
  <si>
    <t>OWT-Z097</t>
  </si>
  <si>
    <t>Opslag Waardigheid en Trots ZZP 9bVV incl. BH</t>
  </si>
  <si>
    <t>OWT-Z103</t>
  </si>
  <si>
    <t>Opslag Waardigheid en Trots ZZP 10VV incl. BH</t>
  </si>
  <si>
    <t>OWT-V041</t>
  </si>
  <si>
    <t>OWT-V051</t>
  </si>
  <si>
    <t>OWT-V061</t>
  </si>
  <si>
    <t>OWT-V071</t>
  </si>
  <si>
    <t>OWT-V081</t>
  </si>
  <si>
    <t>OWT-V095</t>
  </si>
  <si>
    <t>OWT-V101</t>
  </si>
  <si>
    <t>OWT-V043</t>
  </si>
  <si>
    <t>OWT-V053</t>
  </si>
  <si>
    <t>OWT-V063</t>
  </si>
  <si>
    <t>OWT-V073</t>
  </si>
  <si>
    <t>OWT-V083</t>
  </si>
  <si>
    <t>OWT-V097</t>
  </si>
  <si>
    <t>OWT-V103</t>
  </si>
  <si>
    <t>I001</t>
  </si>
  <si>
    <t>Inrichtingskosten bij gedwongen verhuizing éénpersoonswoning</t>
  </si>
  <si>
    <t>81</t>
  </si>
  <si>
    <t>BENODIGDE TIJDSD./TIJDSONAFH.</t>
  </si>
  <si>
    <t>VERHUI</t>
  </si>
  <si>
    <t>I04</t>
  </si>
  <si>
    <t>Gedwongen verhuizing</t>
  </si>
  <si>
    <t>I002</t>
  </si>
  <si>
    <t>Inrichtingskosten bij gedwongen verhuizing meerpersoonswoning</t>
  </si>
  <si>
    <t>ZMZTK</t>
  </si>
  <si>
    <t>ZZP-meerzorg-kortdurend</t>
  </si>
  <si>
    <t>I03</t>
  </si>
  <si>
    <t>MEERZORG ZZP</t>
  </si>
  <si>
    <t>ZMZTL</t>
  </si>
  <si>
    <t>ZZP-meerzorg-langdurend</t>
  </si>
  <si>
    <t>SE031</t>
  </si>
  <si>
    <t>Eerstelijns verblijf basis excl. behandeling</t>
  </si>
  <si>
    <t>SUBREG</t>
  </si>
  <si>
    <t>Extra</t>
  </si>
  <si>
    <t>per 1-1-2017 in ZvW</t>
  </si>
  <si>
    <t>zz geen</t>
  </si>
  <si>
    <t>SE063</t>
  </si>
  <si>
    <t>Eerstelijns verblijf intensief incl. behandeling</t>
  </si>
  <si>
    <t>SE103</t>
  </si>
  <si>
    <t>Eerstelijns verblijf palliatief incl. behandeling</t>
  </si>
  <si>
    <t>Verblijfscomp. kortdurend VG-LG</t>
  </si>
  <si>
    <t>NZ993</t>
  </si>
  <si>
    <t>IZ993</t>
  </si>
  <si>
    <t>Verblijfscomp. kortdurend  ZG</t>
  </si>
  <si>
    <t>NZ994</t>
  </si>
  <si>
    <t>IZ994</t>
  </si>
  <si>
    <t>Verblijfscomp. kortdurend V&amp;V</t>
  </si>
  <si>
    <t>NZ996</t>
  </si>
  <si>
    <t>IZ996</t>
  </si>
  <si>
    <t>H337 Reiskosten prestaties Behandeling (H332 en H333)</t>
  </si>
  <si>
    <t>Dagbesteding koppelen aan ZZP</t>
  </si>
  <si>
    <t>1vg</t>
  </si>
  <si>
    <t>2vg</t>
  </si>
  <si>
    <t>3vg</t>
  </si>
  <si>
    <t>4vg</t>
  </si>
  <si>
    <t>5vg</t>
  </si>
  <si>
    <t>6vg</t>
  </si>
  <si>
    <t>7vg</t>
  </si>
  <si>
    <t>8vg</t>
  </si>
  <si>
    <t>1vv</t>
  </si>
  <si>
    <t>3vv</t>
  </si>
  <si>
    <t>2vv</t>
  </si>
  <si>
    <t>4vv</t>
  </si>
  <si>
    <t>5vv</t>
  </si>
  <si>
    <t>6vv</t>
  </si>
  <si>
    <t>7vv</t>
  </si>
  <si>
    <t>8vv</t>
  </si>
  <si>
    <t>9vv</t>
  </si>
  <si>
    <t>10vv</t>
  </si>
  <si>
    <t>1lg</t>
  </si>
  <si>
    <t>2lg</t>
  </si>
  <si>
    <t>3lg</t>
  </si>
  <si>
    <t>4lg</t>
  </si>
  <si>
    <t>5lg</t>
  </si>
  <si>
    <t>6lg</t>
  </si>
  <si>
    <t>7lg</t>
  </si>
  <si>
    <t>1sglvg</t>
  </si>
  <si>
    <t>1zgvis</t>
  </si>
  <si>
    <t>2zgvis</t>
  </si>
  <si>
    <t>3zgvis</t>
  </si>
  <si>
    <t>4zgvis</t>
  </si>
  <si>
    <t>5zgvis</t>
  </si>
  <si>
    <t>1zgaud</t>
  </si>
  <si>
    <t>3zgaud</t>
  </si>
  <si>
    <t>4zgaud</t>
  </si>
  <si>
    <t>1ggzb</t>
  </si>
  <si>
    <t>2ggzb</t>
  </si>
  <si>
    <t>3ggzb</t>
  </si>
  <si>
    <t>4ggzb</t>
  </si>
  <si>
    <t>5ggzb</t>
  </si>
  <si>
    <t>2zgaud</t>
  </si>
  <si>
    <t>Licht</t>
  </si>
  <si>
    <t>Midden</t>
  </si>
  <si>
    <t>Zwaar</t>
  </si>
  <si>
    <t>1lvg</t>
  </si>
  <si>
    <t>2lvg</t>
  </si>
  <si>
    <t>3lvg</t>
  </si>
  <si>
    <t>4lvg</t>
  </si>
  <si>
    <t>5lvg</t>
  </si>
  <si>
    <t>"vul hier het BSN van cliënt in"</t>
  </si>
  <si>
    <t>PGB: Rekenmodule voorleggen aan Zorgkantoor</t>
  </si>
  <si>
    <t>Bedrag PGB controleren bij het Zorgkantoor, daarna ZIN aanvragen</t>
  </si>
  <si>
    <t>Onderbouwing extreme zorgzwaarte</t>
  </si>
  <si>
    <t>Uren zorg (PV, VP en Bgind)</t>
  </si>
  <si>
    <t>Uren dagbesteding</t>
  </si>
  <si>
    <t>Uren behandeling</t>
  </si>
  <si>
    <t>Reden extreme zorgzwaarte</t>
  </si>
  <si>
    <t>Gedragsproblematiek</t>
  </si>
  <si>
    <t>CCE advies moet worden aangevraagd door zorgaanbieder</t>
  </si>
  <si>
    <t>Somatische problematiek</t>
  </si>
  <si>
    <t xml:space="preserve">Is er sprake van een kortdurende of langdurige noodzaak tot meerzorg </t>
  </si>
  <si>
    <r>
      <t>Kortdurend (max 6 maanden)</t>
    </r>
    <r>
      <rPr>
        <sz val="11"/>
        <color rgb="FFFF0000"/>
        <rFont val="Calibri"/>
        <family val="2"/>
        <scheme val="minor"/>
      </rPr>
      <t xml:space="preserve"> </t>
    </r>
    <r>
      <rPr>
        <sz val="11"/>
        <rFont val="Calibri"/>
        <family val="2"/>
        <scheme val="minor"/>
      </rPr>
      <t>( alleen mogelijk bij VG)</t>
    </r>
  </si>
  <si>
    <t xml:space="preserve">Regulier VV en GGZ </t>
  </si>
  <si>
    <t>Regulier VG</t>
  </si>
  <si>
    <t>Omschrijving extreme zorgzwaarte</t>
  </si>
  <si>
    <r>
      <rPr>
        <b/>
        <sz val="11"/>
        <color theme="1"/>
        <rFont val="Calibri"/>
        <family val="2"/>
        <scheme val="minor"/>
      </rPr>
      <t>Professionele blik:</t>
    </r>
    <r>
      <rPr>
        <sz val="11"/>
        <color theme="1"/>
        <rFont val="Calibri"/>
        <family val="2"/>
        <scheme val="minor"/>
      </rPr>
      <t xml:space="preserve"> omschrijving problematiek/beperkingen vanuit oogpunt van de professional</t>
    </r>
  </si>
  <si>
    <t>Gestelde doelen waaraan gewerkt wordt</t>
  </si>
  <si>
    <t>(Overig, vul hier tekst in)</t>
  </si>
  <si>
    <t>LET OP: Meerzorg gekozen, klik hier voor onderbouwing!</t>
  </si>
  <si>
    <t>Urendrempel Meerzorg</t>
  </si>
  <si>
    <t>gemiddeld</t>
  </si>
  <si>
    <t>125% van gemiddeld</t>
  </si>
  <si>
    <t>7 VV</t>
  </si>
  <si>
    <t>8 VV</t>
  </si>
  <si>
    <t>5 VG ex dagbesteding</t>
  </si>
  <si>
    <t>5 VG incl. dagbesteding</t>
  </si>
  <si>
    <t>7 VG ex dagbesteding</t>
  </si>
  <si>
    <t>7 VG incl dagbesteding</t>
  </si>
  <si>
    <t>8 VG ex dagbesteding</t>
  </si>
  <si>
    <t>8 VG incl dagbesteding</t>
  </si>
  <si>
    <t>5 LG ex dagbesteding</t>
  </si>
  <si>
    <t>5 LG incl dagbesteding</t>
  </si>
  <si>
    <t>6 LG ex dagbesteding</t>
  </si>
  <si>
    <t>6 LG incl dagbesteding</t>
  </si>
  <si>
    <t>7 LG ex dagbesteding</t>
  </si>
  <si>
    <t>7 LG incl dagbesteding</t>
  </si>
  <si>
    <t>3 Zgaud ex dagbesteding</t>
  </si>
  <si>
    <t>3 zgaud incl dagbesteding</t>
  </si>
  <si>
    <t>5 Zgvis ex dagbesteding</t>
  </si>
  <si>
    <t>5ZGvis incl dagbesteding</t>
  </si>
  <si>
    <t>4 LVG incl dagbesteding</t>
  </si>
  <si>
    <t xml:space="preserve"> Alleen MPT Zin en klanten vanaf 18 jaar </t>
  </si>
  <si>
    <t>5 LVG incl dagbesteding</t>
  </si>
  <si>
    <t>1 SGLVG</t>
  </si>
  <si>
    <t>meerzorg</t>
  </si>
  <si>
    <t>Max uren +25%</t>
  </si>
  <si>
    <t>Uren geleverd</t>
  </si>
  <si>
    <t>Grensuren</t>
  </si>
  <si>
    <t>Totale inzet uren</t>
  </si>
  <si>
    <t>Gemiddeld uren uit het ZZP</t>
  </si>
  <si>
    <t>Let op, onvoldoende zorginzet om meerzorg toe te staan!</t>
  </si>
  <si>
    <t>LET OP: inzet uren past binnen reguliere ZZP uren. Meerzorg niet toegestaan</t>
  </si>
  <si>
    <t>(uren *25%)</t>
  </si>
  <si>
    <t>zzp</t>
  </si>
  <si>
    <t>Gemiddeld aantal uren</t>
  </si>
  <si>
    <t>Gemiddeld aantal uren x 125%</t>
  </si>
  <si>
    <t>verschil</t>
  </si>
  <si>
    <t>geen beh</t>
  </si>
  <si>
    <t>Geen Zin</t>
  </si>
  <si>
    <t>BH Pos</t>
  </si>
  <si>
    <t>Per dag</t>
  </si>
  <si>
    <t>Aan te vragen zorg:</t>
  </si>
  <si>
    <t>Te kiezen leveringsvormen</t>
  </si>
  <si>
    <t>MPT</t>
  </si>
  <si>
    <t>Verblijf</t>
  </si>
  <si>
    <t>Overbruggingszorg</t>
  </si>
  <si>
    <t>Verblijfsprestatie</t>
  </si>
  <si>
    <t>V015 VPT 1vv excl.bh incl.db</t>
  </si>
  <si>
    <t>V025 VPT 2vv excl.bh incl.db</t>
  </si>
  <si>
    <t>V031 VPT 3vv excl.bh incl.db</t>
  </si>
  <si>
    <t>V041 VPT 4vv excl.bh incl.db</t>
  </si>
  <si>
    <t>V051 VPT 5vv excl.bh incl.db</t>
  </si>
  <si>
    <t>V061 VPT 6vv excl.bh incl.db</t>
  </si>
  <si>
    <t>V071 VPT 7vv excl.bh incl.db</t>
  </si>
  <si>
    <t>V081 VPT 8vv excl.bh incl.db</t>
  </si>
  <si>
    <t>V095 VPT 9bvv excl.bh incl.db</t>
  </si>
  <si>
    <t>V101 VPT 10vv excl.bh incl.db</t>
  </si>
  <si>
    <t>V414 VPT 1vg excl.bh excl.db</t>
  </si>
  <si>
    <t>V424 VPT 2vg excl.bh excl.db</t>
  </si>
  <si>
    <t>V430 VPT 3vg excl.bh excl.db</t>
  </si>
  <si>
    <t>V440 VPT 4vg excl.bh excl.db</t>
  </si>
  <si>
    <t>V454 VPT 5vg excl.bh excl.db</t>
  </si>
  <si>
    <t>V460 VPT 6vg excl.bh excl.db</t>
  </si>
  <si>
    <t>V470 VPT 7vg excl.bh excl.db</t>
  </si>
  <si>
    <t>V480 VPT 8vg excl.bh excl.db</t>
  </si>
  <si>
    <t>V513 VPT 1lvg incl.bh incl.db</t>
  </si>
  <si>
    <t>V523 VPT 2lvg incl.bh incl.db</t>
  </si>
  <si>
    <t>V533 VPT 3lvg incl.bh incl.db</t>
  </si>
  <si>
    <t>V543 VPT 4lvg incl.bh incl.db</t>
  </si>
  <si>
    <t>V553 VPT 5lvg incl.bh incl.db</t>
  </si>
  <si>
    <t>V573 VPT 1sglvg incl.bh incl.db</t>
  </si>
  <si>
    <t>V614 VPT 1lg excl.bh excl.db</t>
  </si>
  <si>
    <t>V624 VPT 2lg excl.bh excl.db</t>
  </si>
  <si>
    <t>V630 VPT 3lg excl.bh excl.db</t>
  </si>
  <si>
    <t>V640 VPT 4lg excl.bh excl.db</t>
  </si>
  <si>
    <t>V650 VPT 5lg excl.bh excl.db</t>
  </si>
  <si>
    <t>V660 VPT 6lg excl.bh excl.db</t>
  </si>
  <si>
    <t>V670 VPT 7lg excl.bh excl.db</t>
  </si>
  <si>
    <t>V710 VPT 1zg-auditief excl.bh excl.db</t>
  </si>
  <si>
    <t>V720 VPT 2zg-auditief excl.bh excl.db</t>
  </si>
  <si>
    <t>V730 VPT 3zg-auditief excl.bh excl.db</t>
  </si>
  <si>
    <t>V740 VPT 4zg-auditief excl.bh excl.db</t>
  </si>
  <si>
    <t>V814 VPT 1zg-visueel excl.bh excl.db</t>
  </si>
  <si>
    <t>V824 VPT 2zg-visueel excl.bh excl.db</t>
  </si>
  <si>
    <t>V830 VPT 3zg-visueel excl.bh excl.db</t>
  </si>
  <si>
    <t>V840 VPT 4zg-visueel excl.bh excl.db</t>
  </si>
  <si>
    <t>V850 VPT 5zg-visueel excl.bh excl.db</t>
  </si>
  <si>
    <t>Z015 ZZP 1vv incl.db</t>
  </si>
  <si>
    <t>Z025 ZZP 2vv incl.db</t>
  </si>
  <si>
    <t>Z031 ZZP 3vv excl.bh incl.db</t>
  </si>
  <si>
    <t>Z041 ZZP 4vv excl.bh incl.db</t>
  </si>
  <si>
    <t>Z051 ZZP 5vv excl.bh incl.db</t>
  </si>
  <si>
    <t>Z061 ZZP 6vv excl.bh incl.db</t>
  </si>
  <si>
    <t>Z071 ZZP 7vv excl.bh incl.db</t>
  </si>
  <si>
    <t>Z081 ZZP 8vv excl.bh incl.db</t>
  </si>
  <si>
    <t>Z095 ZZP 9bvv excl.bh incl.db</t>
  </si>
  <si>
    <t>Z101 ZZP 10vv excl.bh incl.db</t>
  </si>
  <si>
    <t>Z033 ZZP 3vv incl.bh incl.db</t>
  </si>
  <si>
    <t>Z043 ZZP 4vv incl.bh incl.db</t>
  </si>
  <si>
    <t>Z053 ZZP 5vv incl.bh incl.db</t>
  </si>
  <si>
    <t>Z063 ZZP 6vv incl.bh incl.db</t>
  </si>
  <si>
    <t>Z073 ZZP 7vv incl.bh incl.db</t>
  </si>
  <si>
    <t>Z083 ZZP 8vv incl.bh incl.db</t>
  </si>
  <si>
    <t>Z097 ZZP 9bvv incl.bh incl.db</t>
  </si>
  <si>
    <t>Z103 ZZP 10vv incl.bh incl.db</t>
  </si>
  <si>
    <t>Z212 ZZP 1ggz-b incl.bh excl.db</t>
  </si>
  <si>
    <t>Z222 ZZP 2ggz-b incl.bh excl.db</t>
  </si>
  <si>
    <t>Z232 ZZP 3ggz-b incl.bh excl.db</t>
  </si>
  <si>
    <t>Z242 ZZP 4ggz-b incl.bh excl.db</t>
  </si>
  <si>
    <t>Z252 ZZP 5ggz-b incl.bh excl.db</t>
  </si>
  <si>
    <t>Z262 ZZP 6ggz-b incl.bh excl.db</t>
  </si>
  <si>
    <t>Z272 ZZP 7ggz-b incl.bh excl.db</t>
  </si>
  <si>
    <t>Z213 ZZP 1ggz-b incl.bh incl.db</t>
  </si>
  <si>
    <t>Z223 ZZP 2ggz-b incl.bh incl.db</t>
  </si>
  <si>
    <t>Z233 ZZP 3ggz-b incl.bh incl.db</t>
  </si>
  <si>
    <t>Z243 ZZP 4ggz-b incl.bh incl.db</t>
  </si>
  <si>
    <t>Z253 ZZP 5ggz-b incl.bh incl.db</t>
  </si>
  <si>
    <t>Z263 ZZP 6ggz-b incl.bh incl.db</t>
  </si>
  <si>
    <t>Z273 ZZP 7ggz-b incl.bh incl.db</t>
  </si>
  <si>
    <t>Z414 ZZP 1vg excl.db</t>
  </si>
  <si>
    <t>Z424 ZZP 2vg excl.db</t>
  </si>
  <si>
    <t>Z415 ZZP 1vg incl.db</t>
  </si>
  <si>
    <t>Z425 ZZP 2vg incl.db</t>
  </si>
  <si>
    <t>Z430 ZZP 3vg excl.bh excl.db</t>
  </si>
  <si>
    <t>Z440 ZZP 4vg excl.bh excl.db</t>
  </si>
  <si>
    <t>Z454 ZZP 5vg excl.bh excl.db</t>
  </si>
  <si>
    <t>Z460 ZZP 6vg excl.bh excl.db</t>
  </si>
  <si>
    <t>Z470 ZZP 7vg excl.bh excl.db</t>
  </si>
  <si>
    <t>Z480 ZZP 8vg excl.bh excl.db</t>
  </si>
  <si>
    <t>Z431 ZZP 3vg excl.bh incl.db</t>
  </si>
  <si>
    <t>Z441 ZZP 4vg excl.bh incl.db</t>
  </si>
  <si>
    <t>Z455 ZZP 5vg excl.bh incl.db</t>
  </si>
  <si>
    <t>Z461 ZZP 6vg excl.bh incl.db</t>
  </si>
  <si>
    <t>Z471 ZZP 7vg excl.bh incl.db</t>
  </si>
  <si>
    <t>Z481 ZZP 8vg excl.bh incl.db</t>
  </si>
  <si>
    <t>Z432 ZZP 3vg incl.bh excl.db</t>
  </si>
  <si>
    <t>Z442 ZZP 4vg incl.bh excl.db</t>
  </si>
  <si>
    <t>Z456 ZZP 5vg incl.bh excl.db</t>
  </si>
  <si>
    <t>Z462 ZZP 6vg incl.bh excl.db</t>
  </si>
  <si>
    <t>Z472 ZZP 7vg incl.bh excl.db</t>
  </si>
  <si>
    <t>Z482 ZZP 8vg incl.bh excl.db</t>
  </si>
  <si>
    <t>Z433 ZZP 3vg incl.bh incl.db</t>
  </si>
  <si>
    <t>Z443 ZZP 4vg incl.bh incl.db</t>
  </si>
  <si>
    <t>Z457 ZZP 5vg incl.bh incl.db</t>
  </si>
  <si>
    <t>Z463 ZZP 6vg incl.bh incl.db</t>
  </si>
  <si>
    <t>Z473 ZZP 7vg incl.bh incl.db</t>
  </si>
  <si>
    <t>Z483 ZZP 8vg incl.bh incl.db</t>
  </si>
  <si>
    <t>Z513 ZZP 1lvg incl.bh incl.db</t>
  </si>
  <si>
    <t>Z523 ZZP 2lvg incl.bh incl.db</t>
  </si>
  <si>
    <t>Z533 ZZP 3lvg incl.bh incl.db</t>
  </si>
  <si>
    <t>Z543 ZZP 4lvg incl.bh incl.db</t>
  </si>
  <si>
    <t>Z553 ZZP 5lvg incl.bh incl.db</t>
  </si>
  <si>
    <t>Z573 ZZP 1sglvg incl.bh incl.db</t>
  </si>
  <si>
    <t>Z614 ZZP 1lg excl.db</t>
  </si>
  <si>
    <t>Z624 ZZP 2lg excl.db</t>
  </si>
  <si>
    <t>Z615 ZZP 1lg incl.db</t>
  </si>
  <si>
    <t>Z625 ZZP 2lg incl.db</t>
  </si>
  <si>
    <t>Z630 ZZP 3lg excl.bh excl.db</t>
  </si>
  <si>
    <t>Z640 ZZP 4lg excl.bh excl.db</t>
  </si>
  <si>
    <t>Z650 ZZP 5lg excl.bh excl.db</t>
  </si>
  <si>
    <t>Z660 ZZP 6lg excl.bh excl.db</t>
  </si>
  <si>
    <t>Z670 ZZP 7lg excl.bh excl.db</t>
  </si>
  <si>
    <t>Z631 ZZP 3lg excl.bh incl.db</t>
  </si>
  <si>
    <t>Z641 ZZP 4lg excl.bh incl.db</t>
  </si>
  <si>
    <t>Z651 ZZP 5lg excl.bh incl.db</t>
  </si>
  <si>
    <t>Z661 ZZP 6lg excl.bh incl.db</t>
  </si>
  <si>
    <t>Z671 ZZP 7lg excl.bh incl.db</t>
  </si>
  <si>
    <t>Z632 ZZP 3lg incl.bh excl.db</t>
  </si>
  <si>
    <t>Z642 ZZP 4lg incl.bh excl.db</t>
  </si>
  <si>
    <t>Z652 ZZP 5lg incl.bh excl.db</t>
  </si>
  <si>
    <t>Z662 ZZP 6lg incl.bh excl.db</t>
  </si>
  <si>
    <t>Z672 ZZP 7lg incl.bh excl.db</t>
  </si>
  <si>
    <t>Z633 ZZP 3lg incl.bh incl.db</t>
  </si>
  <si>
    <t>Z643 ZZP 4lg incl.bh incl.db</t>
  </si>
  <si>
    <t>Z653 ZZP 5lg incl.bh incl.db</t>
  </si>
  <si>
    <t>Z663 ZZP 6lg incl.bh incl.db</t>
  </si>
  <si>
    <t>Z673 ZZP 7lg incl.bh incl.db</t>
  </si>
  <si>
    <t>Z710 ZZP 1zg-auditief excl.bh excl.db</t>
  </si>
  <si>
    <t>Z720 ZZP 2zg-auditief excl.bh excl.db</t>
  </si>
  <si>
    <t>Z730 ZZP 3zg-auditief excl.bh excl.db</t>
  </si>
  <si>
    <t>Z740 ZZP 4zg-auditief excl.bh excl.db</t>
  </si>
  <si>
    <t>Z711 ZZP 1zg-auditief excl.bh incl.db</t>
  </si>
  <si>
    <t>Z721 ZZP 2zg-auditief excl.bh incl.db</t>
  </si>
  <si>
    <t>Z731 ZZP 3zg-auditief excl.bh incl.db</t>
  </si>
  <si>
    <t>Z741 ZZP 4zg-auditief excl.bh incl.db</t>
  </si>
  <si>
    <t>Z712 ZZP 1zg-auditief incl.bh excl.db</t>
  </si>
  <si>
    <t>Z722 ZZP 2zg-auditief incl.bh excl.db</t>
  </si>
  <si>
    <t>Z732 ZZP 3zg-auditief incl.bh excl.db</t>
  </si>
  <si>
    <t>Z742 ZZP 4zg-auditief incl.bh excl.db</t>
  </si>
  <si>
    <t>Z713 ZZP 1zg-auditief incl.bh incl.db</t>
  </si>
  <si>
    <t>Z723 ZZP 2zg-auditief incl.bh incl.db</t>
  </si>
  <si>
    <t>Z733 ZZP 3zg-auditief incl.bh incl.db</t>
  </si>
  <si>
    <t>Z743 ZZP 4zg-auditief incl.bh incl.db</t>
  </si>
  <si>
    <t>Z814 ZZP 1zg-visueel excl.db</t>
  </si>
  <si>
    <t>Z824 ZZP 2zg-visueel excl.db</t>
  </si>
  <si>
    <t>Z815 ZZP 1zg-visueel incl.db</t>
  </si>
  <si>
    <t>Z825 ZZP 2zg-visueel incl.db</t>
  </si>
  <si>
    <t>Z830 ZZP 3zg-visueel excl.bh excl.db</t>
  </si>
  <si>
    <t>Z840 ZZP 4zg-visueel excl.bh excl.db</t>
  </si>
  <si>
    <t>Z850 ZZP 5zg-visueel excl.bh excl.db</t>
  </si>
  <si>
    <t>Z831 ZZP 3zg-visueel excl.bh incl.db</t>
  </si>
  <si>
    <t>Z841 ZZP 4zg-visueel excl.bh incl.db</t>
  </si>
  <si>
    <t>Z851 ZZP 5zg-visueel excl.bh incl.db</t>
  </si>
  <si>
    <t>Z832 ZZP 3zg-visueel incl.bh excl.db</t>
  </si>
  <si>
    <t>Z842 ZZP 4zg-visueel incl.bh excl.db</t>
  </si>
  <si>
    <t>Z852 ZZP 5zg-visueel incl.bh excl.db</t>
  </si>
  <si>
    <t>Z833 ZZP 3zg-visueel incl.bh incl.db</t>
  </si>
  <si>
    <t>Z843 ZZP 4zg-visueel incl.bh incl.db</t>
  </si>
  <si>
    <t>Z853 ZZP 5zg-visueel incl.bh incl.db</t>
  </si>
  <si>
    <t>V033 VPT 3vv incl.bh incl.db</t>
  </si>
  <si>
    <t>V043 VPT 4vv incl.bh incl.db</t>
  </si>
  <si>
    <t>V053 VPT 5vv incl.bh incl.db</t>
  </si>
  <si>
    <t>V063 VPT 6vv incl.bh incl.db</t>
  </si>
  <si>
    <t>V073 VPT 7vv incl.bh incl.db</t>
  </si>
  <si>
    <t>V083 VPT 8vv incl.bh incl.db</t>
  </si>
  <si>
    <t>V097 VPT 9bvv incl.bhincl.db</t>
  </si>
  <si>
    <t>V103 VPT 10vv incl.bhincl.db</t>
  </si>
  <si>
    <t>V415 VPT 1vg excl.bh incl.db</t>
  </si>
  <si>
    <t>V425 VPT 2vg excl.bh incl.db</t>
  </si>
  <si>
    <t>V431 VPT 3vg excl.bh incl.db</t>
  </si>
  <si>
    <t>V441 VPT 4vg excl.bh incl.db</t>
  </si>
  <si>
    <t>V455 VPT 5vg excl.bh incl.db</t>
  </si>
  <si>
    <t>V461 VPT 6vg excl.bh incl.db</t>
  </si>
  <si>
    <t>V471 VPT 7vg excl.bh incl.db</t>
  </si>
  <si>
    <t>V481 VPT 8vg excl.bh incl.db</t>
  </si>
  <si>
    <t>V432 VPT 3vg incl.bh excl.db</t>
  </si>
  <si>
    <t>V442 VPT 4vg incl.bh excl.db</t>
  </si>
  <si>
    <t>V456 VPT 5vg incl.bh excl.db</t>
  </si>
  <si>
    <t>V462 VPT 6vg incl.bh excl.db</t>
  </si>
  <si>
    <t>V472 VPT 7vg incl.bh excl.db</t>
  </si>
  <si>
    <t>V482 VPT 8vg incl.bh excl.db</t>
  </si>
  <si>
    <t>V433 VPT 3vg incl.bh incl.db</t>
  </si>
  <si>
    <t>V443 VPT 4vg incl.bh incl.db</t>
  </si>
  <si>
    <t>V457 VPT 5vg incl.bh incl.db</t>
  </si>
  <si>
    <t>V463 VPT 6vg incl.bh incl.db</t>
  </si>
  <si>
    <t>V473 VPT 7vg incl.bh incl.db</t>
  </si>
  <si>
    <t>V483 VPT 8vg incl.bh incl.db</t>
  </si>
  <si>
    <t>V615 VPT 1lg excl.bh incl.db</t>
  </si>
  <si>
    <t>V625 VPT 2lg excl.bh incl.db</t>
  </si>
  <si>
    <t>V631 VPT 3lg excl.bh incl.db</t>
  </si>
  <si>
    <t>V641 VPT 4lg excl.bh incl.db</t>
  </si>
  <si>
    <t>V651 VPT 5lg excl.bh incl.db</t>
  </si>
  <si>
    <t>V661 VPT 6lg excl.bh incl.db</t>
  </si>
  <si>
    <t>V671 VPT 7lg excl.bh incl.db</t>
  </si>
  <si>
    <t>V632 VPT 3lg incl.bh excl.db</t>
  </si>
  <si>
    <t>V642 VPT 4lg incl.bh excl.db</t>
  </si>
  <si>
    <t>V652 VPT 5lg incl.bh excl.db</t>
  </si>
  <si>
    <t>V662 VPT 6lg incl.bh excl.db</t>
  </si>
  <si>
    <t>V672 VPT 7lg incl.bh excl.db</t>
  </si>
  <si>
    <t>V633 VPT 3lg incl.bh incl.db</t>
  </si>
  <si>
    <t>V643 VPT 4lg incl.bh incl.db</t>
  </si>
  <si>
    <t>V653 VPT 5lg incl.bh incl.db</t>
  </si>
  <si>
    <t>V663 VPT 6lg incl.bh incl.db</t>
  </si>
  <si>
    <t>V673 VPT 7lg incl.bh incl.db</t>
  </si>
  <si>
    <t>V711 VPT 1zg-auditief excl.bh incl.db</t>
  </si>
  <si>
    <t>V721 VPT 2zg-auditief excl.bh incl.db</t>
  </si>
  <si>
    <t>V731 VPT 3zg-auditief excl.bh incl.db</t>
  </si>
  <si>
    <t>V741 VPT 4zg-auditief excl.bh incl.db</t>
  </si>
  <si>
    <t>V712 VPT 1zg-auditief incl.bh excl.db</t>
  </si>
  <si>
    <t>V722 VPT 2zg-auditief incl.bh excl.db</t>
  </si>
  <si>
    <t>V732 VPT 3zg-auditief incl.bh excl.db</t>
  </si>
  <si>
    <t>V742 VPT 4zg-auditief incl.bh excl.db</t>
  </si>
  <si>
    <t>V713 VPT 1zg-auditief incl.bh incl.db</t>
  </si>
  <si>
    <t>V723 VPT 2zg-auditief incl.bh incl.db</t>
  </si>
  <si>
    <t>V733 VPT 3zg-auditief incl.bh incl.db</t>
  </si>
  <si>
    <t>V743 VPT 4zg-auditief incl.bh incl.db</t>
  </si>
  <si>
    <t>V815 VPT 1zg-visueel excl.bh incl.db</t>
  </si>
  <si>
    <t>V825 VPT 2zg-visueel excl.bh incl.db</t>
  </si>
  <si>
    <t>V831 VPT 3zg-visueel excl.bh incl.db</t>
  </si>
  <si>
    <t>V841 VPT 4zg-visueel excl.bh incl.db</t>
  </si>
  <si>
    <t>V851 VPT 5zg-visueel excl.bh incl.db</t>
  </si>
  <si>
    <t>V832 VPT 3zg-visueel incl.bh excl.db</t>
  </si>
  <si>
    <t>V842 VPT 4zg-visueel incl.bh excl.db</t>
  </si>
  <si>
    <t>V852 VPT 5zg-visueel incl.bh excl.db</t>
  </si>
  <si>
    <t>V833 VPT 3zg-visueel incl.bh incl.db</t>
  </si>
  <si>
    <t>V843 VPT 4zg-visueel incl.bh incl.db</t>
  </si>
  <si>
    <t>V853 VPT 5zg-visueel incl.bh incl.db</t>
  </si>
  <si>
    <t>VPTprestatie</t>
  </si>
  <si>
    <t>H900 Dagbesteding vg licht (vg1-vg4)</t>
  </si>
  <si>
    <t>H903 Dagbesteding vg midden (vg5)</t>
  </si>
  <si>
    <t>H904 Dagbesteding vg midden (vg6)</t>
  </si>
  <si>
    <t>H905 Dagbesteding vg midden (vg8)</t>
  </si>
  <si>
    <t>H902 Dagbesteding vg zwaar (vg7)</t>
  </si>
  <si>
    <t>H910 Dagbesteding lg licht (lg7)</t>
  </si>
  <si>
    <t>H913 Dagbesteding lg midden (lg2 en lg4)</t>
  </si>
  <si>
    <t>H914 Dagbesteding lg midden (lg6)</t>
  </si>
  <si>
    <t>H915 Dagbesteding lg zwaar (lg1 en lg3)</t>
  </si>
  <si>
    <t>H916 Dagbesteding lg zwaar (lg5)</t>
  </si>
  <si>
    <t>H920 Dagbesteding zg aud licht (zg aud1 en zg aud4)</t>
  </si>
  <si>
    <t>H921 Dagbesteding zg aud midden (zg aud2)</t>
  </si>
  <si>
    <t>H922 Dagbesteding zg aud zwaar (zg aud3)</t>
  </si>
  <si>
    <t>H930 Dagbesteding zg vis licht (zg vis2 en zg vis3)</t>
  </si>
  <si>
    <t>H931 Dagbesteding zg vis midden (zg vis1)</t>
  </si>
  <si>
    <t>H933 Dagbesteding zg vis zwaar (zg vis4)</t>
  </si>
  <si>
    <t>H934 Dagbesteding zg vis zwaar (zg vis5)</t>
  </si>
  <si>
    <t>AGBcode</t>
  </si>
  <si>
    <t>Soort zorg</t>
  </si>
  <si>
    <t>Leverende AGBcode</t>
  </si>
  <si>
    <t>Aantal</t>
  </si>
  <si>
    <t>verblijfsprestatie</t>
  </si>
  <si>
    <t>( a )</t>
  </si>
  <si>
    <t>( b )</t>
  </si>
  <si>
    <t xml:space="preserve"> ( c )</t>
  </si>
  <si>
    <t>( d )</t>
  </si>
  <si>
    <t>(a+b+c+d)</t>
  </si>
  <si>
    <t xml:space="preserve">kapitaallasten dagbesteding kind ghz/ </t>
  </si>
  <si>
    <t>Code</t>
  </si>
  <si>
    <t>loon- en materiële kosten</t>
  </si>
  <si>
    <t>NHC</t>
  </si>
  <si>
    <t xml:space="preserve"> NIC</t>
  </si>
  <si>
    <t>dagbehandeling vg emg</t>
  </si>
  <si>
    <t>BRW totaal</t>
  </si>
  <si>
    <t>Onderbouwing beleidsregelwaarde per prestatie</t>
  </si>
  <si>
    <t>VPT 1vv excl.bh incl.db</t>
  </si>
  <si>
    <t>n.v.t.</t>
  </si>
  <si>
    <t>VPT 2vv excl.bh incl.db</t>
  </si>
  <si>
    <t>VPT 3vv incl.bh incl.db</t>
  </si>
  <si>
    <t>VPT 4vv incl.bh incl.db</t>
  </si>
  <si>
    <t>VPT 5vv incl.bh incl.db</t>
  </si>
  <si>
    <t>VPT 6vv incl.bh incl.db</t>
  </si>
  <si>
    <t>VPT 7vv incl.bh incl.db</t>
  </si>
  <si>
    <t>VPT 8vv incl.bh incl.db</t>
  </si>
  <si>
    <t>VPT 9bvv incl.bhincl.db</t>
  </si>
  <si>
    <t>VPT 10vv incl.bhincl.db</t>
  </si>
  <si>
    <t>VPT 1vg excl.bh excl.db</t>
  </si>
  <si>
    <t>VPT 2vg excl.bh excl.db</t>
  </si>
  <si>
    <t>VPT 3vg incl.bh excl.db</t>
  </si>
  <si>
    <t>VPT 4vg incl.bh excl.db</t>
  </si>
  <si>
    <t>VPT 5vg incl.bh excl.db</t>
  </si>
  <si>
    <t>VPT 6vg incl.bh excl.db</t>
  </si>
  <si>
    <t>VPT 7vg incl.bh excl.db</t>
  </si>
  <si>
    <t>VPT 8vg incl.bh excl.db</t>
  </si>
  <si>
    <t>VPT 1lvg incl.bh incl.db</t>
  </si>
  <si>
    <t>VPT 2lvg incl.bh incl.db</t>
  </si>
  <si>
    <t>VPT 3lvg incl.bh incl.db</t>
  </si>
  <si>
    <t>VPT 4lvg incl.bh incl.db</t>
  </si>
  <si>
    <t>VPT 5lvg incl.bh incl.db</t>
  </si>
  <si>
    <t>VPT 1sglvg incl.bh incl.db</t>
  </si>
  <si>
    <t>VPT 1lg excl.bh excl.db</t>
  </si>
  <si>
    <t>VPT 2lg excl.bh excl.db</t>
  </si>
  <si>
    <t>VPT 3lg incl.bh excl.db</t>
  </si>
  <si>
    <t>VPT 4lg incl.bh excl.db</t>
  </si>
  <si>
    <t>VPT 5lg incl.bh excl.db</t>
  </si>
  <si>
    <t>VPT 6lg incl.bh excl.db</t>
  </si>
  <si>
    <t>VPT 7lg incl.bh excl.db</t>
  </si>
  <si>
    <t>VPT 1zg-auditief incl.bh excl.db</t>
  </si>
  <si>
    <t>VPT 2zg-auditief incl.bh excl.db</t>
  </si>
  <si>
    <t>VPT 3zg-auditief incl.bh excl.db</t>
  </si>
  <si>
    <t>VPT 4zg-auditief incl.bh excl.db</t>
  </si>
  <si>
    <t>VPT 1zg-visueel excl.bh excl.db</t>
  </si>
  <si>
    <t>VPT 2zg-visueel excl.bh excl.db</t>
  </si>
  <si>
    <t>VPT 3zg-visueel incl.bh excl.db</t>
  </si>
  <si>
    <t>VPT 4zg-visueel incl.bh excl.db</t>
  </si>
  <si>
    <t>VPT 5zg-visueel incl.bh excl.db</t>
  </si>
  <si>
    <t>Dagbesteding vg licht (vg1 en vg4)</t>
  </si>
  <si>
    <t>H903</t>
  </si>
  <si>
    <t>Dagbesteding vg midden (vg5)</t>
  </si>
  <si>
    <t>H904</t>
  </si>
  <si>
    <t>Dagbesteding vg midden (vg6)</t>
  </si>
  <si>
    <t>Dagbesteding vg midden (vg8)</t>
  </si>
  <si>
    <t>Dagbesteding vg zwaar (vg7)</t>
  </si>
  <si>
    <t>Dagbesteding lg licht (lg7)</t>
  </si>
  <si>
    <t>H913</t>
  </si>
  <si>
    <t>Dagbesteding lg midden (lg2 en lg4)</t>
  </si>
  <si>
    <t>H914</t>
  </si>
  <si>
    <t>Dagbesteding lg midden (lg6)</t>
  </si>
  <si>
    <t>H915</t>
  </si>
  <si>
    <t>Dagbesteding lg zwaar (lg1 en lg3)</t>
  </si>
  <si>
    <t>H916</t>
  </si>
  <si>
    <t>Dagbesteding lg zwaar (lg5)</t>
  </si>
  <si>
    <t>Dagbesteding zg aud licht (zg aud1 en zg aud4)</t>
  </si>
  <si>
    <t>Dagbesteding zg aud midden (zg aud2)</t>
  </si>
  <si>
    <t>Dagbesteding zg aud zwaar (zg aud3)</t>
  </si>
  <si>
    <t>Dagbesteding zg vis licht (zg vis2 en zg vis3)</t>
  </si>
  <si>
    <t>Dagbesteding zg vis midden (zg vis1)</t>
  </si>
  <si>
    <t>H933</t>
  </si>
  <si>
    <t>Dagbesteding zg vis zwaar (zg vis4)</t>
  </si>
  <si>
    <t>H934</t>
  </si>
  <si>
    <t>Dagbesteding zg vis zwaar (zg vis5)</t>
  </si>
  <si>
    <t>Vervoer dagbesteding vv</t>
  </si>
  <si>
    <t>Toeslag non-invasieve beademing</t>
  </si>
  <si>
    <t>Toeslag gespecialiseerde epilepsie zorg (GEZ) laag</t>
  </si>
  <si>
    <t>Toeslag woonzorg ghz kind</t>
  </si>
  <si>
    <t>Toeslag woonzorg ghz jeugd</t>
  </si>
  <si>
    <t>Toeslag woonzorg ghz jong volwassen</t>
  </si>
  <si>
    <t>Toeslag dagbesteding ghz kind - licht</t>
  </si>
  <si>
    <t>Toeslag dagbesteding ghz kind - midden</t>
  </si>
  <si>
    <t>Toeslag dagbesteding ghz kind - zwaar</t>
  </si>
  <si>
    <t>Toeslag dagbesteding ghz kind – vg5/vg8 midden emg</t>
  </si>
  <si>
    <t>Toeslag kind dagbesteding vg licht</t>
  </si>
  <si>
    <t>Toeslag kind dagbesteding vg midden</t>
  </si>
  <si>
    <t>Toeslag kind dagbesteding vg5/vg8 midden emg</t>
  </si>
  <si>
    <t>Toeslag kind dagbesteding vg zwaar</t>
  </si>
  <si>
    <t>Toeslag kind dagbesteding lg licht</t>
  </si>
  <si>
    <t>Toeslag kind dagbesteding lg midden</t>
  </si>
  <si>
    <t>Toeslag kind dagbesteding lg zwaar</t>
  </si>
  <si>
    <t>Toeslag kind dagbesteding zg auditief licht</t>
  </si>
  <si>
    <t>Toeslag kind dagbesteding zg auditief midden</t>
  </si>
  <si>
    <t>Toeslag kind dagbesteding zg auditief zwaar</t>
  </si>
  <si>
    <t>Toeslag kind dagbesteding zg visueel licht</t>
  </si>
  <si>
    <t>Toeslag kind dagbesteding zg visueel midden</t>
  </si>
  <si>
    <t>Toeslag kind dagbesteding zg visueel zwaar</t>
  </si>
  <si>
    <t>WV041</t>
  </si>
  <si>
    <t>Opslag Waardigheid en Trots vpt-zzp 4vv excl. bh</t>
  </si>
  <si>
    <t>WV051</t>
  </si>
  <si>
    <t>Opslag Waardigheid en Trots vpt-zzp 5vv excl. bh</t>
  </si>
  <si>
    <t>WV061</t>
  </si>
  <si>
    <t>Opslag Waardigheid en Trots vpt-zzp 6vv excl. bh</t>
  </si>
  <si>
    <t>WV071</t>
  </si>
  <si>
    <t>Opslag Waardigheid en Trots vpt-zzp 7vv excl. bh</t>
  </si>
  <si>
    <t>WV081</t>
  </si>
  <si>
    <t>Opslag Waardigheid en Trots vpt-zzp 8vv excl. bh</t>
  </si>
  <si>
    <t>WV095</t>
  </si>
  <si>
    <t>Opslag Waardigheid en Trots vpt-zzp 9bvv excl. bh</t>
  </si>
  <si>
    <t>WV101</t>
  </si>
  <si>
    <t>Opslag Waardigheid en Trots vpt-zzp 10vv excl. bh</t>
  </si>
  <si>
    <t>WV043</t>
  </si>
  <si>
    <t>Opslag Waardigheid en Trots vpt-zzp 4vv incl. bh</t>
  </si>
  <si>
    <t>WV053</t>
  </si>
  <si>
    <t>Opslag Waardigheid en Trots vpt-zzp 5vv incl. bh</t>
  </si>
  <si>
    <t>WV063</t>
  </si>
  <si>
    <t>Opslag Waardigheid en Trots vpt-zzp 6vv incl. bh</t>
  </si>
  <si>
    <t>WV073</t>
  </si>
  <si>
    <t>Opslag Waardigheid en Trots vpt-zzp 7vv incl. bh</t>
  </si>
  <si>
    <t>WV083</t>
  </si>
  <si>
    <t>Opslag Waardigheid en Trots vpt-zzp 8vv incl. bh</t>
  </si>
  <si>
    <t>WV097</t>
  </si>
  <si>
    <t>Opslag Waardigheid en Trots vpt-zzp 9bvv incl. bh</t>
  </si>
  <si>
    <t>WV103</t>
  </si>
  <si>
    <t>Opslag Waardigheid en Trots vpt-zzp 10vv incl. bh</t>
  </si>
  <si>
    <t>H900 Dagbesteding vg licht (vg1 en vg4)</t>
  </si>
  <si>
    <t>ZZP 1vv incl.db</t>
  </si>
  <si>
    <t>ZZP 2vv incl.db</t>
  </si>
  <si>
    <t>ZZP 3vv excl.bh incl.db</t>
  </si>
  <si>
    <t>ZZP 4vv excl.bh incl.db</t>
  </si>
  <si>
    <t>ZZP 5vv excl.bh incl.db</t>
  </si>
  <si>
    <t>ZZP 6vv excl.bh incl.db</t>
  </si>
  <si>
    <t>ZZP 7vv excl.bh incl.db</t>
  </si>
  <si>
    <t>ZZP 8vv excl.bh incl.db</t>
  </si>
  <si>
    <t>ZZP 9bvv excl.bh incl.db</t>
  </si>
  <si>
    <t>ZZP 10vv excl.bh incl.db</t>
  </si>
  <si>
    <t>ZZP 3vv incl.bh incl.db</t>
  </si>
  <si>
    <t>ZZP 4vv incl.bh incl.db</t>
  </si>
  <si>
    <t>ZZP 5vv incl.bh incl.db</t>
  </si>
  <si>
    <t>ZZP 6vv incl.bh incl.db</t>
  </si>
  <si>
    <t>ZZP 7vv incl.bh incl.db</t>
  </si>
  <si>
    <t>ZZP 8vv incl.bh incl.db</t>
  </si>
  <si>
    <t>ZZP 9bvv incl.bh incl.db</t>
  </si>
  <si>
    <t>ZZP 10vv incl.bh incl.db</t>
  </si>
  <si>
    <t>ZZP 1ggz-b incl.bh excl.db</t>
  </si>
  <si>
    <t>ZZP 2ggz-b incl.bh excl.db</t>
  </si>
  <si>
    <t>ZZP 3ggz-b incl.bh excl.db</t>
  </si>
  <si>
    <t>ZZP 4ggz-b incl.bh excl.db</t>
  </si>
  <si>
    <t>ZZP 5ggz-b incl.bh excl.db</t>
  </si>
  <si>
    <t>ZZP 6ggz-b incl.bh excl.db</t>
  </si>
  <si>
    <t>ZZP 7ggz-b incl.bh excl.db</t>
  </si>
  <si>
    <t>ZZP 1ggz-b incl.bh incl.db</t>
  </si>
  <si>
    <t>ZZP 2ggz-b incl.bh incl.db</t>
  </si>
  <si>
    <t>ZZP 3ggz-b incl.bh incl.db</t>
  </si>
  <si>
    <t>ZZP 4ggz-b incl.bh incl.db</t>
  </si>
  <si>
    <t>ZZP 5ggz-b incl.bh incl.db</t>
  </si>
  <si>
    <t>ZZP 6ggz-b incl.bh incl.db</t>
  </si>
  <si>
    <t>ZZP 7ggz-b incl.bh incl.db</t>
  </si>
  <si>
    <t>ZZP 1vg excl.db</t>
  </si>
  <si>
    <t>ZZP 2vg excl.db</t>
  </si>
  <si>
    <t>ZZP 1vg incl.db</t>
  </si>
  <si>
    <t>ZZP 2vg incl.db</t>
  </si>
  <si>
    <t>ZZP 3vg excl.bh excl.db</t>
  </si>
  <si>
    <t>ZZP 4vg excl.bh excl.db</t>
  </si>
  <si>
    <t>ZZP 5vg excl.bh excl.db</t>
  </si>
  <si>
    <t>ZZP 6vg excl.bh excl.db</t>
  </si>
  <si>
    <t>ZZP 7vg excl.bh excl.db</t>
  </si>
  <si>
    <t>ZZP 8vg excl.bh excl.db</t>
  </si>
  <si>
    <t>ZZP 3vg excl.bh incl.db</t>
  </si>
  <si>
    <t>ZZP 4vg excl.bh incl.db</t>
  </si>
  <si>
    <t>ZZP 5vg excl.bh incl.db</t>
  </si>
  <si>
    <t>ZZP 6vg excl.bh incl.db</t>
  </si>
  <si>
    <t>ZZP 7vg excl.bh incl.db</t>
  </si>
  <si>
    <t>ZZP 8vg excl.bh incl.db</t>
  </si>
  <si>
    <t>ZZP 3vg incl.bh excl.db</t>
  </si>
  <si>
    <t>ZZP 4vg incl.bh excl.db</t>
  </si>
  <si>
    <t>ZZP 5vg incl.bh excl.db</t>
  </si>
  <si>
    <t>ZZP 6vg incl.bh excl.db</t>
  </si>
  <si>
    <t>ZZP 7vg incl.bh excl.db</t>
  </si>
  <si>
    <t>ZZP 8vg incl.bh excl.db</t>
  </si>
  <si>
    <t>ZZP 3vg incl.bh incl.db</t>
  </si>
  <si>
    <t>ZZP 4vg incl.bh incl.db</t>
  </si>
  <si>
    <t>ZZP 5vg incl.bh incl.db</t>
  </si>
  <si>
    <t>ZZP 6vg incl.bh incl.db</t>
  </si>
  <si>
    <t>ZZP 7vg incl.bh incl.db</t>
  </si>
  <si>
    <t>ZZP 8vg incl.bh incl.db</t>
  </si>
  <si>
    <t>ZZP 1lvg incl.bh incl.db</t>
  </si>
  <si>
    <t>ZZP 2lvg incl.bh incl.db</t>
  </si>
  <si>
    <t>ZZP 3lvg incl.bh incl.db</t>
  </si>
  <si>
    <t>ZZP 4lvg incl.bh incl.db</t>
  </si>
  <si>
    <t>ZZP 5lvg incl.bh incl.db</t>
  </si>
  <si>
    <t>ZZP 1sglvg incl.bh incl.db</t>
  </si>
  <si>
    <t>ZZP 1lg excl.db</t>
  </si>
  <si>
    <t>ZZP 2lg excl.db</t>
  </si>
  <si>
    <t>ZZP 1lg incl.db</t>
  </si>
  <si>
    <t>ZZP 2lg incl.db</t>
  </si>
  <si>
    <t>ZZP 3lg excl.bh excl.db</t>
  </si>
  <si>
    <t>ZZP 4lg excl.bh excl.db</t>
  </si>
  <si>
    <t>ZZP 5lg excl.bh excl.db</t>
  </si>
  <si>
    <t>ZZP 6lg excl.bh excl.db</t>
  </si>
  <si>
    <t>ZZP 7lg excl.bh excl.db</t>
  </si>
  <si>
    <t>ZZP 3lg excl.bh incl.db</t>
  </si>
  <si>
    <t>ZZP 4lg excl.bh incl.db</t>
  </si>
  <si>
    <t>ZZP 5lg excl.bh incl.db</t>
  </si>
  <si>
    <t>ZZP 6lg excl.bh incl.db</t>
  </si>
  <si>
    <t>ZZP 7lg excl.bh incl.db</t>
  </si>
  <si>
    <t>ZZP 3lg incl.bh excl.db</t>
  </si>
  <si>
    <t>ZZP 4lg incl.bh excl.db</t>
  </si>
  <si>
    <t>ZZP 5lg incl.bh excl.db</t>
  </si>
  <si>
    <t>ZZP 6lg incl.bh excl.db</t>
  </si>
  <si>
    <t>ZZP 7lg incl.bh excl.db</t>
  </si>
  <si>
    <t>ZZP 3lg incl.bh incl.db</t>
  </si>
  <si>
    <t>ZZP 4lg incl.bh incl.db</t>
  </si>
  <si>
    <t>ZZP 5lg incl.bh incl.db</t>
  </si>
  <si>
    <t>ZZP 6lg incl.bh incl.db</t>
  </si>
  <si>
    <t>ZZP 7lg incl.bh incl.db</t>
  </si>
  <si>
    <t>ZZP 1zg-auditief excl.bh excl.db</t>
  </si>
  <si>
    <t>ZZP 2zg-auditief excl.bh excl.db</t>
  </si>
  <si>
    <t>ZZP 3zg-auditief excl.bh excl.db</t>
  </si>
  <si>
    <t>ZZP 4zg-auditief excl.bh excl.db</t>
  </si>
  <si>
    <t>ZZP 1zg-auditief excl.bh incl.db</t>
  </si>
  <si>
    <t>ZZP 2zg-auditief excl.bh incl.db</t>
  </si>
  <si>
    <t>ZZP 3zg-auditief excl.bh incl.db</t>
  </si>
  <si>
    <t>ZZP 4zg-auditief excl.bh incl.db</t>
  </si>
  <si>
    <t>ZZP 1zg-auditief incl.bh excl.db</t>
  </si>
  <si>
    <t>ZZP 2zg-auditief incl.bh excl.db</t>
  </si>
  <si>
    <t>ZZP 3zg-auditief incl.bh excl.db</t>
  </si>
  <si>
    <t>ZZP 4zg-auditief incl.bh excl.db</t>
  </si>
  <si>
    <t>ZZP 1zg-auditief incl.bh incl.db</t>
  </si>
  <si>
    <t>ZZP 2zg-auditief incl.bh incl.db</t>
  </si>
  <si>
    <t>ZZP 3zg-auditief incl.bh incl.db</t>
  </si>
  <si>
    <t>ZZP 4zg-auditief incl.bh incl.db</t>
  </si>
  <si>
    <t>ZZP 1zg-visueel excl.db</t>
  </si>
  <si>
    <t>ZZP 2zg-visueel excl.db</t>
  </si>
  <si>
    <t>ZZP 1zg-visueel incl.db</t>
  </si>
  <si>
    <t>ZZP 2zg-visueel incl.db</t>
  </si>
  <si>
    <t>ZZP 3zg-visueel excl.bh excl.db</t>
  </si>
  <si>
    <t>ZZP 4zg-visueel excl.bh excl.db</t>
  </si>
  <si>
    <t>ZZP 5zg-visueel excl.bh excl.db</t>
  </si>
  <si>
    <t>ZZP 3zg-visueel excl.bh incl.db</t>
  </si>
  <si>
    <t>ZZP 4zg-visueel excl.bh incl.db</t>
  </si>
  <si>
    <t>ZZP 5zg-visueel excl.bh incl.db</t>
  </si>
  <si>
    <t>ZZP 3zg-visueel incl.bh excl.db</t>
  </si>
  <si>
    <t>ZZP 4zg-visueel incl.bh excl.db</t>
  </si>
  <si>
    <t>ZZP 5zg-visueel incl.bh excl.db</t>
  </si>
  <si>
    <t>ZZP 3zg-visueel incl.bh incl.db</t>
  </si>
  <si>
    <t>ZZP 4zg-visueel incl.bh incl.db</t>
  </si>
  <si>
    <t>ZZP 5zg-visueel incl.bh incl.db</t>
  </si>
  <si>
    <t>Verblijfscomponent niet-geïndiceerde partner vv</t>
  </si>
  <si>
    <t>Verblijfscomponent niet-geïndiceerde partner ghz: vg en lg</t>
  </si>
  <si>
    <t>Verblijfscomponent niet-geïndiceerde partner ghz: zg</t>
  </si>
  <si>
    <t>Mutatiedag (vv), niet toegelaten voor behandeling</t>
  </si>
  <si>
    <t>Mutatiedag (vv), toegelaten voor behandeling</t>
  </si>
  <si>
    <t>Crisisopvang/spoedzorg vv met behandeling</t>
  </si>
  <si>
    <t>Crisisopvang/spoedzorg ghz vg zonder behandeling</t>
  </si>
  <si>
    <t>Crisisopvang/spoedzorg ghz vg met behandeling</t>
  </si>
  <si>
    <t xml:space="preserve">Crisisopvang/spoedzorg lvg </t>
  </si>
  <si>
    <t>Logeren ghz-vg</t>
  </si>
  <si>
    <t>Logeren ghz-lg</t>
  </si>
  <si>
    <t>Logeren ghz-lvg</t>
  </si>
  <si>
    <t>Logeren ghz-zg</t>
  </si>
  <si>
    <t>Logeren vv</t>
  </si>
  <si>
    <t>Dagbesteding vg licht (vg1-vg4)</t>
  </si>
  <si>
    <t>Vervoer dagbesteding/dagbehandeling vv</t>
  </si>
  <si>
    <t>Vervoer dagbesteding ggz</t>
  </si>
  <si>
    <t>Toeslag Invasieve beademing</t>
  </si>
  <si>
    <t xml:space="preserve">Toeslag Multifunctioneel centrum (MFC) </t>
  </si>
  <si>
    <t>Toeslag observatie</t>
  </si>
  <si>
    <t>Toeslag Niet Strafrechtelijk forensische psychiatrie (NSFP)</t>
  </si>
  <si>
    <t>Toeslag woonzorg ggz jong volwassen</t>
  </si>
  <si>
    <t>Toeslag dagbesteding ghz kind - vg5/vg8 midden emg</t>
  </si>
  <si>
    <t>Toeslag kind dagbesteding vg5/ vg8 midden emg</t>
  </si>
  <si>
    <t>WZ041</t>
  </si>
  <si>
    <t>Opslag Waardigheid en Trots zzp 4-vv excl. bh</t>
  </si>
  <si>
    <t>WZ051</t>
  </si>
  <si>
    <t>Opslag Waardigheid en Trots zzp 5-vv excl. bh</t>
  </si>
  <si>
    <t>WZ061</t>
  </si>
  <si>
    <t>Opslag Waardigheid en Trots zzp 6-vv excl. bh</t>
  </si>
  <si>
    <t>WZ071</t>
  </si>
  <si>
    <t>Opslag Waardigheid en Trots zzp 7-vv excl. bh</t>
  </si>
  <si>
    <t>WZ081</t>
  </si>
  <si>
    <t>Opslag Waardigheid en Trots zzp 8-vv excl. bh</t>
  </si>
  <si>
    <t>WZ095</t>
  </si>
  <si>
    <t>Opslag Waardigheid en Trots zzp 9b-vv excl. bh</t>
  </si>
  <si>
    <t>WZ101</t>
  </si>
  <si>
    <t>Opslag Waardigheid en Trots zzp 10-vv excl. bh</t>
  </si>
  <si>
    <t>WZ043</t>
  </si>
  <si>
    <t>Opslag Waardigheid en Trots zzp 4-vv incl. bh</t>
  </si>
  <si>
    <t>WZ053</t>
  </si>
  <si>
    <t>Opslag Waardigheid en Trots zzp 5-vv incl. bh</t>
  </si>
  <si>
    <t>WZ063</t>
  </si>
  <si>
    <t>Opslag Waardigheid en Trots zzp 6-vv incl. bh</t>
  </si>
  <si>
    <t>WZ073</t>
  </si>
  <si>
    <t>Opslag Waardigheid en Trots zzp 7-vv incl. bh</t>
  </si>
  <si>
    <t>WZ083</t>
  </si>
  <si>
    <t>Opslag Waardigheid en Trots zzp 8-vv incl. bh</t>
  </si>
  <si>
    <t>WZ097</t>
  </si>
  <si>
    <t>Opslag Waardigheid en Trots zzp 9b-vv incl. bh</t>
  </si>
  <si>
    <t>WZ103</t>
  </si>
  <si>
    <t>Opslag Waardigheid en Trots zzp 10-vv incl. bh</t>
  </si>
  <si>
    <t>100% prestatie</t>
  </si>
  <si>
    <t>100% per dag</t>
  </si>
  <si>
    <t>100% per week</t>
  </si>
  <si>
    <t>Percentage</t>
  </si>
  <si>
    <t>1e</t>
  </si>
  <si>
    <t>2e</t>
  </si>
  <si>
    <t>3e</t>
  </si>
  <si>
    <t>4e</t>
  </si>
  <si>
    <t>5e</t>
  </si>
  <si>
    <t>6e</t>
  </si>
  <si>
    <t>7e</t>
  </si>
  <si>
    <t>8e</t>
  </si>
  <si>
    <t>9e</t>
  </si>
  <si>
    <t>10e</t>
  </si>
  <si>
    <t>11e</t>
  </si>
  <si>
    <t>12e</t>
  </si>
  <si>
    <t>13e</t>
  </si>
  <si>
    <t>14e</t>
  </si>
  <si>
    <t>Aantal dubbel</t>
  </si>
  <si>
    <t>"vul hier de naam van cliënt in"</t>
  </si>
  <si>
    <t>Ruimte voor behandeling</t>
  </si>
  <si>
    <t xml:space="preserve">         Natura ruimte zorg thuis</t>
  </si>
  <si>
    <t>ZZP's</t>
  </si>
  <si>
    <t>Dagbesteding apart?</t>
  </si>
  <si>
    <t>Verblijf2</t>
  </si>
  <si>
    <t>BHind</t>
  </si>
  <si>
    <t>VPT2</t>
  </si>
  <si>
    <t>VolPT2</t>
  </si>
  <si>
    <t>Vul weekbedrag PGB in:</t>
  </si>
  <si>
    <t>Vervoer</t>
  </si>
  <si>
    <t>Dag</t>
  </si>
  <si>
    <t>Behandeling hoger dan basisbudget</t>
  </si>
  <si>
    <t>Totale zorg</t>
  </si>
  <si>
    <t>PGB bedrag</t>
  </si>
  <si>
    <t>Basisbudget ZIN</t>
  </si>
  <si>
    <t>PGB</t>
  </si>
  <si>
    <t>Totaal ingezette zorg</t>
  </si>
  <si>
    <t>Datum aanvraag</t>
  </si>
  <si>
    <t>Opname</t>
  </si>
  <si>
    <t>Opname2</t>
  </si>
  <si>
    <t>F125 Dagbesteding lza</t>
  </si>
  <si>
    <t>H106 Verpleging speciaal</t>
  </si>
  <si>
    <t>H107 Verpleging zorg op afstand aanvullend</t>
  </si>
  <si>
    <t>H117 Huishoudelijke hulp</t>
  </si>
  <si>
    <t>H120 Pv Speciaal</t>
  </si>
  <si>
    <t>H127 Pv incl. beschikbaarheid</t>
  </si>
  <si>
    <t>H128 Verpleging incl. beschikbaarheid</t>
  </si>
  <si>
    <t>H136 Pv zorg op afstand aanvullend</t>
  </si>
  <si>
    <t>H137 Pv farmaceutische telezorg</t>
  </si>
  <si>
    <t>H301 Begeleiding zg visueel</t>
  </si>
  <si>
    <t>H303 Begeleiding zg auditief</t>
  </si>
  <si>
    <t>H305 Begeleiding zorg op afstand aanvullend</t>
  </si>
  <si>
    <t>H321 Reiskosten prestaties behandeling (H325 t/m H331 en H334 t/m H336)</t>
  </si>
  <si>
    <t>H326 Behandeling sglvg traject</t>
  </si>
  <si>
    <t>H327 Behandeling sglvg deeltijd</t>
  </si>
  <si>
    <t>H332 Behandeling zg visueel</t>
  </si>
  <si>
    <t>H333 Behandeling zg auditief</t>
  </si>
  <si>
    <t>H334 Behandeling IOG (j)lvg</t>
  </si>
  <si>
    <t>H337 Reiskosten prestatie behandeling (H332 en H333)</t>
  </si>
  <si>
    <t>H800 Dagbesteding somatisch  ondersteunend</t>
  </si>
  <si>
    <t>H803 Vervoer dagbesteding/dagbehandeling vv</t>
  </si>
  <si>
    <t>H811 Dagbesteding vg licht</t>
  </si>
  <si>
    <t>H812 Dagbesteding vg midden</t>
  </si>
  <si>
    <t>H813 Dagbesteding vg zwaar</t>
  </si>
  <si>
    <t>H814 Dagbesteding vg kind licht</t>
  </si>
  <si>
    <t>H815 Dagbesteding vg kind midden</t>
  </si>
  <si>
    <t>H816 Dagbesteding vg kind zwaar</t>
  </si>
  <si>
    <t xml:space="preserve">H817 Dagbehandeling vg kind emg </t>
  </si>
  <si>
    <t>H818 Dagbesteding vg kind gedrag</t>
  </si>
  <si>
    <t>H819 Dagbehandeling vg emg volwassenen</t>
  </si>
  <si>
    <t>H820 Dagbehandeling vg kind midden</t>
  </si>
  <si>
    <t>H821 Dagbehandeling vg kind zwaar</t>
  </si>
  <si>
    <t>H822 Dagbehandeling vg kind gedrag</t>
  </si>
  <si>
    <t>H831 Dagbesteding lg licht</t>
  </si>
  <si>
    <t>H832 Dagbesteding lg midden</t>
  </si>
  <si>
    <t>H833 Dagbesteding lg zwaar</t>
  </si>
  <si>
    <t>H834 Dagbesteding lg kind licht</t>
  </si>
  <si>
    <t>H835 Dagbesteding lg kind midden</t>
  </si>
  <si>
    <t>H836 Dagbesteding lg kind zwaar</t>
  </si>
  <si>
    <t>H837 Dagbehandeling lg licht</t>
  </si>
  <si>
    <t>H838 Dagbehandeling lg midden</t>
  </si>
  <si>
    <t>H839 Dagbehandeling lg zwaar</t>
  </si>
  <si>
    <t>H851 Dagbesteding zg auditief licht</t>
  </si>
  <si>
    <t>H852 Dagbesteding zg auditief midden</t>
  </si>
  <si>
    <t>H853 Dagbesteding zg auditief zwaar</t>
  </si>
  <si>
    <t>H854 Dagbesteding zg kind auditief licht</t>
  </si>
  <si>
    <t>H855 Dagbesteding zg kind auditief midden</t>
  </si>
  <si>
    <t>H856 Dagbesteding zg kind auditief zwaar</t>
  </si>
  <si>
    <t>H871 Dagbesteding zg visueel licht</t>
  </si>
  <si>
    <t>H872 Dagbesteding zg visueel midden</t>
  </si>
  <si>
    <t>H873 Dagbesteding zg visueel zwaar</t>
  </si>
  <si>
    <t>H874 Dagbesteding zg kind visueel licht</t>
  </si>
  <si>
    <t>H875 Dagbesteding zg kind visueel midden</t>
  </si>
  <si>
    <t>H876 Dagbesteding zg kind visueel zwaar</t>
  </si>
  <si>
    <t>H891 Dagbehandeling lvg</t>
  </si>
  <si>
    <t>Aangevraagde zorg op weekbasis</t>
  </si>
  <si>
    <t>"Vul hier onderbouwing bijzondere situatie in"</t>
  </si>
  <si>
    <t>Let op: percentage van MPT</t>
  </si>
  <si>
    <t>De rekenmodule is afgestemd met de cliënt:</t>
  </si>
  <si>
    <t>A. Werkwijze inclusief veranderingen ten opzichte van huidige versie</t>
  </si>
  <si>
    <r>
      <t>1.</t>
    </r>
    <r>
      <rPr>
        <sz val="7"/>
        <color theme="1"/>
        <rFont val="Times New Roman"/>
        <family val="1"/>
      </rPr>
      <t xml:space="preserve">       </t>
    </r>
    <r>
      <rPr>
        <sz val="11"/>
        <color theme="1"/>
        <rFont val="Calibri"/>
        <family val="2"/>
        <scheme val="minor"/>
      </rPr>
      <t>De rekenmodule iWlz 2.0 is uitgebreid voor Verblijf en VPT zodat de procentuele verdeling met dagbesteding kan worden berekend die via de AAT moet worden aangevraagd . Nieuwe velden zijn toegevoegd “Aan te vragen zorg” (keuze Verblijf, VPT, MPT) en “Soort Zorg”.</t>
    </r>
  </si>
  <si>
    <r>
      <t>2.</t>
    </r>
    <r>
      <rPr>
        <sz val="7"/>
        <color theme="1"/>
        <rFont val="Times New Roman"/>
        <family val="1"/>
      </rPr>
      <t xml:space="preserve">       </t>
    </r>
    <r>
      <rPr>
        <sz val="11"/>
        <color theme="1"/>
        <rFont val="Calibri"/>
        <family val="2"/>
        <scheme val="minor"/>
      </rPr>
      <t>Als voor verblijf gekozen wordt, wordt in plaats van het veld “Extramurale ruimte” het veld “Financiële ruimte” getoond.</t>
    </r>
  </si>
  <si>
    <r>
      <t>3.</t>
    </r>
    <r>
      <rPr>
        <sz val="7"/>
        <color theme="1"/>
        <rFont val="Times New Roman"/>
        <family val="1"/>
      </rPr>
      <t xml:space="preserve">       </t>
    </r>
    <r>
      <rPr>
        <sz val="11"/>
        <color theme="1"/>
        <rFont val="Calibri"/>
        <family val="2"/>
        <scheme val="minor"/>
      </rPr>
      <t>De AGB code moet gevuld worden met de AGB code van de locatie die de zorgtoewijzing moet ontvangen</t>
    </r>
  </si>
  <si>
    <r>
      <t>4.</t>
    </r>
    <r>
      <rPr>
        <sz val="7"/>
        <color theme="1"/>
        <rFont val="Times New Roman"/>
        <family val="1"/>
      </rPr>
      <t xml:space="preserve">       </t>
    </r>
    <r>
      <rPr>
        <sz val="11"/>
        <color theme="1"/>
        <rFont val="Calibri"/>
        <family val="2"/>
        <scheme val="minor"/>
      </rPr>
      <t>Per AGB-code wordt de verdeling van het percentage over meerdere aanbieders getoond</t>
    </r>
  </si>
  <si>
    <r>
      <t>5.</t>
    </r>
    <r>
      <rPr>
        <sz val="7"/>
        <color theme="1"/>
        <rFont val="Times New Roman"/>
        <family val="1"/>
      </rPr>
      <t xml:space="preserve">       </t>
    </r>
    <r>
      <rPr>
        <sz val="11"/>
        <color theme="1"/>
        <rFont val="Calibri"/>
        <family val="2"/>
        <scheme val="minor"/>
      </rPr>
      <t>Voor de V&amp;V, (SG)LVG  en GGZ kan in de rekenmodule het verblijf en dagbesteding niet gesplitst worden over meerdere aanbieders. Er bestaan in de NZa beleidsregels geen losse verblijfs- en dagbestedingsprestaties</t>
    </r>
  </si>
  <si>
    <r>
      <t>6.</t>
    </r>
    <r>
      <rPr>
        <sz val="7"/>
        <color theme="1"/>
        <rFont val="Times New Roman"/>
        <family val="1"/>
      </rPr>
      <t xml:space="preserve">       </t>
    </r>
    <r>
      <rPr>
        <sz val="11"/>
        <color theme="1"/>
        <rFont val="Calibri"/>
        <family val="2"/>
        <scheme val="minor"/>
      </rPr>
      <t xml:space="preserve">Op basis van ingevulde profiel, prestaties en uren/minuten wordt getoond wat het structureel benodigd week budget  is. Dit wordt berekend als percentage.  </t>
    </r>
  </si>
  <si>
    <r>
      <t>7.</t>
    </r>
    <r>
      <rPr>
        <sz val="7"/>
        <color theme="1"/>
        <rFont val="Times New Roman"/>
        <family val="1"/>
      </rPr>
      <t xml:space="preserve">       </t>
    </r>
    <r>
      <rPr>
        <sz val="11"/>
        <color theme="1"/>
        <rFont val="Calibri"/>
        <family val="2"/>
        <scheme val="minor"/>
      </rPr>
      <t>Veld pgb: hier kan het weekbedrag PGB ingevuld worden als dit bekend is. Bij het veld PGB wordt dan ook het percentage getoond.</t>
    </r>
  </si>
  <si>
    <r>
      <t>8.</t>
    </r>
    <r>
      <rPr>
        <sz val="7"/>
        <color theme="1"/>
        <rFont val="Times New Roman"/>
        <family val="1"/>
      </rPr>
      <t xml:space="preserve">       </t>
    </r>
    <r>
      <rPr>
        <sz val="11"/>
        <color theme="1"/>
        <rFont val="Calibri"/>
        <family val="2"/>
        <scheme val="minor"/>
      </rPr>
      <t>Op basis van ingevuld pgb budget (weekbasis) wordt het restbudget voor MPT, VPT of Verblijf (Opname) getoond</t>
    </r>
  </si>
  <si>
    <r>
      <t>9.</t>
    </r>
    <r>
      <rPr>
        <sz val="7"/>
        <color theme="1"/>
        <rFont val="Times New Roman"/>
        <family val="1"/>
      </rPr>
      <t xml:space="preserve">       </t>
    </r>
    <r>
      <rPr>
        <sz val="11"/>
        <color theme="1"/>
        <rFont val="Calibri"/>
        <family val="2"/>
        <scheme val="minor"/>
      </rPr>
      <t>Nieuw veld toegevoegd  “Aan te vragen zorg “: dit bepaalt het filter op de soort zorg en daarmee de prestaties die getoond worden.</t>
    </r>
  </si>
  <si>
    <r>
      <t>10.</t>
    </r>
    <r>
      <rPr>
        <sz val="7"/>
        <color theme="1"/>
        <rFont val="Times New Roman"/>
        <family val="1"/>
      </rPr>
      <t xml:space="preserve">   </t>
    </r>
    <r>
      <rPr>
        <sz val="11"/>
        <color theme="1"/>
        <rFont val="Calibri"/>
        <family val="2"/>
        <scheme val="minor"/>
      </rPr>
      <t>Er is in de rekenmodule geen harde verbandscontrole tussen te selecteren prestaties en ZZP. Daardoor kan het voorkomen dat de aanbieder per abuis dagbesteding VV aanvraagt op VG profiel.</t>
    </r>
  </si>
  <si>
    <r>
      <t>11.</t>
    </r>
    <r>
      <rPr>
        <sz val="7"/>
        <color theme="1"/>
        <rFont val="Times New Roman"/>
        <family val="1"/>
      </rPr>
      <t xml:space="preserve">   </t>
    </r>
    <r>
      <rPr>
        <sz val="11"/>
        <color theme="1"/>
        <rFont val="Calibri"/>
        <family val="2"/>
        <scheme val="minor"/>
      </rPr>
      <t>De rekenmodule toont de verdeling van het budget over MPT en PGB in bedragen en percentages.</t>
    </r>
  </si>
  <si>
    <r>
      <t>12.</t>
    </r>
    <r>
      <rPr>
        <sz val="7"/>
        <color theme="1"/>
        <rFont val="Times New Roman"/>
        <family val="1"/>
      </rPr>
      <t xml:space="preserve">   </t>
    </r>
    <r>
      <rPr>
        <sz val="11"/>
        <color theme="1"/>
        <rFont val="Calibri"/>
        <family val="2"/>
        <scheme val="minor"/>
      </rPr>
      <t>De rekenmodule toont alle vormen van extra budget die via de AAT bovenop het MPT aangevraagd mogen worden.</t>
    </r>
  </si>
  <si>
    <r>
      <t>13.</t>
    </r>
    <r>
      <rPr>
        <sz val="7"/>
        <color theme="1"/>
        <rFont val="Times New Roman"/>
        <family val="1"/>
      </rPr>
      <t xml:space="preserve">   </t>
    </r>
    <r>
      <rPr>
        <sz val="11"/>
        <color theme="1"/>
        <rFont val="Calibri"/>
        <family val="2"/>
        <scheme val="minor"/>
      </rPr>
      <t>Op basis van het percentage en de ingevulde reden voor extra budget geeft de rekenmodule aan of de rekenmodule moet worden ingestuurd en hoe de AAT moet worden ingevuld.</t>
    </r>
  </si>
  <si>
    <r>
      <t>14.</t>
    </r>
    <r>
      <rPr>
        <sz val="7"/>
        <color theme="1"/>
        <rFont val="Times New Roman"/>
        <family val="1"/>
      </rPr>
      <t xml:space="preserve">   </t>
    </r>
    <r>
      <rPr>
        <sz val="11"/>
        <color theme="1"/>
        <rFont val="Calibri"/>
        <family val="2"/>
        <scheme val="minor"/>
      </rPr>
      <t>De rekenmodule toont de toegestane redenen van extra budget en welke reden in de AAT moet worden gevuld (zie bijlage).</t>
    </r>
  </si>
  <si>
    <r>
      <t>15.</t>
    </r>
    <r>
      <rPr>
        <sz val="7"/>
        <color theme="1"/>
        <rFont val="Times New Roman"/>
        <family val="1"/>
      </rPr>
      <t xml:space="preserve">   </t>
    </r>
    <r>
      <rPr>
        <sz val="11"/>
        <color theme="1"/>
        <rFont val="Calibri"/>
        <family val="2"/>
        <scheme val="minor"/>
      </rPr>
      <t>Per reden extra budget wordt het bijbehorend budget getoond.</t>
    </r>
  </si>
  <si>
    <r>
      <t>16.</t>
    </r>
    <r>
      <rPr>
        <sz val="7"/>
        <color theme="1"/>
        <rFont val="Times New Roman"/>
        <family val="1"/>
      </rPr>
      <t xml:space="preserve">   </t>
    </r>
    <r>
      <rPr>
        <sz val="11"/>
        <color theme="1"/>
        <rFont val="Calibri"/>
        <family val="2"/>
        <scheme val="minor"/>
      </rPr>
      <t>De benutte ruimte voor behandeling wordt als percentage getoond.</t>
    </r>
  </si>
  <si>
    <r>
      <t>17.</t>
    </r>
    <r>
      <rPr>
        <sz val="7"/>
        <color theme="1"/>
        <rFont val="Times New Roman"/>
        <family val="1"/>
      </rPr>
      <t xml:space="preserve">   </t>
    </r>
    <r>
      <rPr>
        <sz val="11"/>
        <color theme="1"/>
        <rFont val="Calibri"/>
        <family val="2"/>
        <scheme val="minor"/>
      </rPr>
      <t>De datum verzending/aanmaak is opgenomen.</t>
    </r>
  </si>
  <si>
    <t>18.  De toegestane redenen in geval van enige ondoelmatigheid in Rekenmodule zijn het zelfde als in de AAT. Zie onderstaande tabel.</t>
  </si>
  <si>
    <t>B. Rekenregels</t>
  </si>
  <si>
    <r>
      <t>1.</t>
    </r>
    <r>
      <rPr>
        <sz val="7"/>
        <color theme="1"/>
        <rFont val="Times New Roman"/>
        <family val="1"/>
      </rPr>
      <t xml:space="preserve">       </t>
    </r>
    <r>
      <rPr>
        <sz val="11"/>
        <color theme="1"/>
        <rFont val="Calibri"/>
        <family val="2"/>
        <scheme val="minor"/>
      </rPr>
      <t>Per leveringsvorm Verblijf, VPT, MPT /PGB wordt het percentage op  100% gesteld. Het percentage is als volgt afgeleid van het tarief behorend bij het geïndiceerde profiel:</t>
    </r>
  </si>
  <si>
    <r>
      <t>a.</t>
    </r>
    <r>
      <rPr>
        <sz val="7"/>
        <color theme="1"/>
        <rFont val="Times New Roman"/>
        <family val="1"/>
      </rPr>
      <t xml:space="preserve">       </t>
    </r>
    <r>
      <rPr>
        <sz val="11"/>
        <color theme="1"/>
        <rFont val="Calibri"/>
        <family val="2"/>
        <scheme val="minor"/>
      </rPr>
      <t>Verblijf: het ZZP tarief incl. dagbesteding incl. behandeling (tarieven uit NZa beleidsregel ZZP)</t>
    </r>
  </si>
  <si>
    <r>
      <t>b.</t>
    </r>
    <r>
      <rPr>
        <sz val="7"/>
        <color theme="1"/>
        <rFont val="Times New Roman"/>
        <family val="1"/>
      </rPr>
      <t xml:space="preserve">      </t>
    </r>
    <r>
      <rPr>
        <sz val="11"/>
        <color theme="1"/>
        <rFont val="Calibri"/>
        <family val="2"/>
        <scheme val="minor"/>
      </rPr>
      <t>VPT : het VPT tarief incl. dagbesteding incl. behandeling (tarieven uit NZa beleidsregel VPT)</t>
    </r>
  </si>
  <si>
    <r>
      <t>c.</t>
    </r>
    <r>
      <rPr>
        <sz val="7"/>
        <color theme="1"/>
        <rFont val="Times New Roman"/>
        <family val="1"/>
      </rPr>
      <t xml:space="preserve">       </t>
    </r>
    <r>
      <rPr>
        <sz val="11"/>
        <color theme="1"/>
        <rFont val="Calibri"/>
        <family val="2"/>
        <scheme val="minor"/>
      </rPr>
      <t>MPT/pgb: het pgb tarief incl. vervoer (PGB tarieven per ZZP uit ZINL tabel). Dus zonder behandeling.</t>
    </r>
  </si>
  <si>
    <r>
      <t>2.</t>
    </r>
    <r>
      <rPr>
        <sz val="7"/>
        <color theme="1"/>
        <rFont val="Times New Roman"/>
        <family val="1"/>
      </rPr>
      <t xml:space="preserve">       </t>
    </r>
    <r>
      <rPr>
        <sz val="11"/>
        <color theme="1"/>
        <rFont val="Calibri"/>
        <family val="2"/>
        <scheme val="minor"/>
      </rPr>
      <t>Het extra budget dat bovenop de 100% berekend wordt, betreft alleen vormen van extra budget of toeslagen die deelbaar zijn over meerdere aanbieders en/of over MPT en pgb</t>
    </r>
  </si>
  <si>
    <r>
      <t>a.</t>
    </r>
    <r>
      <rPr>
        <sz val="7"/>
        <color theme="1"/>
        <rFont val="Times New Roman"/>
        <family val="1"/>
      </rPr>
      <t xml:space="preserve">       </t>
    </r>
    <r>
      <rPr>
        <sz val="11"/>
        <color theme="1"/>
        <rFont val="Calibri"/>
        <family val="2"/>
        <scheme val="minor"/>
      </rPr>
      <t>Verblijf en VPT:  geen extra budget van toepassing. 100% is maximum percentage.</t>
    </r>
  </si>
  <si>
    <r>
      <t>b.</t>
    </r>
    <r>
      <rPr>
        <sz val="7"/>
        <color theme="1"/>
        <rFont val="Times New Roman"/>
        <family val="1"/>
      </rPr>
      <t xml:space="preserve">      </t>
    </r>
    <r>
      <rPr>
        <sz val="11"/>
        <color theme="1"/>
        <rFont val="Calibri"/>
        <family val="2"/>
        <scheme val="minor"/>
      </rPr>
      <t xml:space="preserve">MPT: EKT, PTZ, invasieve en noninvasieve beademing, meerzorg, (extra) behandeling, </t>
    </r>
    <r>
      <rPr>
        <sz val="11"/>
        <color rgb="FF000000"/>
        <rFont val="Calibri"/>
        <family val="2"/>
        <scheme val="minor"/>
      </rPr>
      <t>GVP</t>
    </r>
    <r>
      <rPr>
        <sz val="11"/>
        <color theme="1"/>
        <rFont val="Calibri"/>
        <family val="2"/>
        <scheme val="minor"/>
      </rPr>
      <t>, discretionaire bevoegdheid (overige reden). Behandeling mag niet gedeeld worden met pgb.</t>
    </r>
  </si>
  <si>
    <r>
      <t>c.</t>
    </r>
    <r>
      <rPr>
        <sz val="7"/>
        <color theme="1"/>
        <rFont val="Times New Roman"/>
        <family val="1"/>
      </rPr>
      <t xml:space="preserve">       </t>
    </r>
    <r>
      <rPr>
        <sz val="11"/>
        <color theme="1"/>
        <rFont val="Calibri"/>
        <family val="2"/>
        <scheme val="minor"/>
      </rPr>
      <t xml:space="preserve">Pgb:  EKT, PTZ, invasieve en noninvasieve beademing, meerzorg,  </t>
    </r>
    <r>
      <rPr>
        <sz val="11"/>
        <color rgb="FF000000"/>
        <rFont val="Calibri"/>
        <family val="2"/>
        <scheme val="minor"/>
      </rPr>
      <t>GVP</t>
    </r>
    <r>
      <rPr>
        <sz val="11"/>
        <color theme="1"/>
        <rFont val="Calibri"/>
        <family val="2"/>
        <scheme val="minor"/>
      </rPr>
      <t>, discretionaire bevoegdheid (overige reden). Maar in ieder geval niet de toeslagen Woontoeslag, Persoonlijk assistentiebudget, kleinschalige woonvoorziening (Zie 3)</t>
    </r>
  </si>
  <si>
    <r>
      <t>3.</t>
    </r>
    <r>
      <rPr>
        <sz val="7"/>
        <color theme="1"/>
        <rFont val="Times New Roman"/>
        <family val="1"/>
      </rPr>
      <t xml:space="preserve">       </t>
    </r>
    <r>
      <rPr>
        <sz val="11"/>
        <color theme="1"/>
        <rFont val="Calibri"/>
        <family val="2"/>
        <scheme val="minor"/>
      </rPr>
      <t xml:space="preserve">De volgende bedragen worden überhaupt </t>
    </r>
    <r>
      <rPr>
        <b/>
        <u/>
        <sz val="11"/>
        <color theme="1"/>
        <rFont val="Calibri"/>
        <family val="2"/>
        <scheme val="minor"/>
      </rPr>
      <t xml:space="preserve">niet </t>
    </r>
    <r>
      <rPr>
        <sz val="11"/>
        <color theme="1"/>
        <rFont val="Calibri"/>
        <family val="2"/>
        <scheme val="minor"/>
      </rPr>
      <t>in de berekening van het percentage meegenomen: dit betreft de bedragen die niet deelbaar zijn over meerdere aanbieders of over ZIN en pgb, of toeslagen die via een andere aparte prestatie (bijv. meerzorg intramuraal) gedeclareerd worden.</t>
    </r>
  </si>
  <si>
    <r>
      <t>a.</t>
    </r>
    <r>
      <rPr>
        <sz val="7"/>
        <color theme="1"/>
        <rFont val="Times New Roman"/>
        <family val="1"/>
      </rPr>
      <t xml:space="preserve">       </t>
    </r>
    <r>
      <rPr>
        <sz val="11"/>
        <color theme="1"/>
        <rFont val="Calibri"/>
        <family val="2"/>
        <scheme val="minor"/>
      </rPr>
      <t>Verblijf en VPT: de aparte toeslagprestaties die bovenop het standaardtarief gedeclareerd kunnen worden. Bijv. vervoer, meerzorg</t>
    </r>
  </si>
  <si>
    <r>
      <t>b.</t>
    </r>
    <r>
      <rPr>
        <sz val="7"/>
        <color theme="1"/>
        <rFont val="Times New Roman"/>
        <family val="1"/>
      </rPr>
      <t xml:space="preserve">      </t>
    </r>
    <r>
      <rPr>
        <sz val="11"/>
        <color theme="1"/>
        <rFont val="Calibri"/>
        <family val="2"/>
        <scheme val="minor"/>
      </rPr>
      <t>MPT :  geen uitzondering. Behandeling en ademhalingsondersteuning zijn meegenomen in percentage omdat ze deelbaar zijn over meerdere aanbieders.</t>
    </r>
  </si>
  <si>
    <r>
      <t>c.</t>
    </r>
    <r>
      <rPr>
        <sz val="7"/>
        <color theme="1"/>
        <rFont val="Times New Roman"/>
        <family val="1"/>
      </rPr>
      <t xml:space="preserve">       </t>
    </r>
    <r>
      <rPr>
        <sz val="11"/>
        <color theme="1"/>
        <rFont val="Calibri"/>
        <family val="2"/>
        <scheme val="minor"/>
      </rPr>
      <t xml:space="preserve">Pgb: de aparte toeslagen die </t>
    </r>
    <r>
      <rPr>
        <u/>
        <sz val="11"/>
        <color theme="1"/>
        <rFont val="Calibri"/>
        <family val="2"/>
        <scheme val="minor"/>
      </rPr>
      <t>niet</t>
    </r>
    <r>
      <rPr>
        <sz val="11"/>
        <color theme="1"/>
        <rFont val="Calibri"/>
        <family val="2"/>
        <scheme val="minor"/>
      </rPr>
      <t xml:space="preserve"> voor MPT van toepassing zijn. Dit betreft </t>
    </r>
    <r>
      <rPr>
        <b/>
        <i/>
        <sz val="11"/>
        <color theme="1"/>
        <rFont val="Calibri"/>
        <family val="2"/>
        <scheme val="minor"/>
      </rPr>
      <t>budgetgarantie, toeslag wooninitiatief, persoonlijke assistentiebudget en de herberekening op basis van het aanvaarbaarheidspercentage</t>
    </r>
    <r>
      <rPr>
        <sz val="11"/>
        <color theme="1"/>
        <rFont val="Calibri"/>
        <family val="2"/>
        <scheme val="minor"/>
      </rPr>
      <t>.</t>
    </r>
  </si>
  <si>
    <r>
      <t>4.</t>
    </r>
    <r>
      <rPr>
        <sz val="7"/>
        <color theme="1"/>
        <rFont val="Times New Roman"/>
        <family val="1"/>
      </rPr>
      <t xml:space="preserve">       </t>
    </r>
    <r>
      <rPr>
        <sz val="11"/>
        <color theme="1"/>
        <rFont val="Calibri"/>
        <family val="2"/>
        <scheme val="minor"/>
      </rPr>
      <t>De rekenmodule toont alle NZa prestaties die als MPT gedeclareerd mogen worden (NZa beleidsregel Modulaire zorg) en meetellen in het bewaken van de doelmatigheid. Het tarief in de rekenmodule is 97% van het landelijk tarief.</t>
    </r>
  </si>
  <si>
    <r>
      <t>5.</t>
    </r>
    <r>
      <rPr>
        <sz val="7"/>
        <color theme="1"/>
        <rFont val="Times New Roman"/>
        <family val="1"/>
      </rPr>
      <t xml:space="preserve">       </t>
    </r>
    <r>
      <rPr>
        <sz val="11"/>
        <color theme="1"/>
        <rFont val="Calibri"/>
        <family val="2"/>
        <scheme val="minor"/>
      </rPr>
      <t xml:space="preserve">Voor alle leveringsvormen wordt voor de berekening van het percentage uitgegaan van 100% van de waarde van het geïndiceerde ZZP, en dus niet van het sectorvreemde ZZP.  </t>
    </r>
  </si>
  <si>
    <r>
      <t>6.</t>
    </r>
    <r>
      <rPr>
        <sz val="7"/>
        <color theme="1"/>
        <rFont val="Times New Roman"/>
        <family val="1"/>
      </rPr>
      <t xml:space="preserve">      </t>
    </r>
    <r>
      <rPr>
        <sz val="11"/>
        <color theme="1"/>
        <rFont val="Calibri"/>
        <family val="2"/>
        <scheme val="minor"/>
      </rPr>
      <t>Het budget dat extra beschikbaar is voor behandeling is gemaximeerd op het verschil tussen het tarief voor het VPT inclusief behandeling min het tarief voor het VPT exclusief behandeling (NZa beleidsregel VPT).</t>
    </r>
    <r>
      <rPr>
        <sz val="12"/>
        <color theme="1"/>
        <rFont val="Times New Roman"/>
        <family val="1"/>
      </rPr>
      <t xml:space="preserve"> </t>
    </r>
  </si>
  <si>
    <r>
      <t>8.</t>
    </r>
    <r>
      <rPr>
        <sz val="7"/>
        <color theme="1"/>
        <rFont val="Times New Roman"/>
        <family val="1"/>
      </rPr>
      <t xml:space="preserve">       </t>
    </r>
    <r>
      <rPr>
        <sz val="11"/>
        <color theme="1"/>
        <rFont val="Calibri"/>
        <family val="2"/>
        <scheme val="minor"/>
      </rPr>
      <t>De hoogte van toeslagen invasieve en non-invasieve ademhalingsondersteuning voor zorg thuis zijn gemaximeerd op de intramurale toeslag invasieve of noninvasieve ademhalingsondersteuning (NZa beleidsregels ZZP).</t>
    </r>
  </si>
  <si>
    <t>C. Reden extra budget in Rekenmodule en AAT van toepassing op MPT aanvragen</t>
  </si>
  <si>
    <t>Soort extra budget dat aangevraagd wordt:</t>
  </si>
  <si>
    <t>Rekenmodule reden extra budget</t>
  </si>
  <si>
    <t>AAT CDT_Bijzondere situatie</t>
  </si>
  <si>
    <t>AAT reden extra budget</t>
  </si>
  <si>
    <t>Brontabel iWlz</t>
  </si>
  <si>
    <t>EKT</t>
  </si>
  <si>
    <t>Extra kosten thuis</t>
  </si>
  <si>
    <t>1: Opgroeiend thuiswonend kind &lt; 23 j</t>
  </si>
  <si>
    <t xml:space="preserve"> COD981 Extra kosten thuis</t>
  </si>
  <si>
    <t>2: Ouder met thuiswonend kind &lt; 18 j</t>
  </si>
  <si>
    <t>3: Persoon met SOM, LG en/of ZG met betaalde arbeid die opleiding/studie volgt</t>
  </si>
  <si>
    <t>4: Wlz indiceerbaar</t>
  </si>
  <si>
    <t>Beademing</t>
  </si>
  <si>
    <t>Toeslag beademing</t>
  </si>
  <si>
    <t>Toeslag Beademing</t>
  </si>
  <si>
    <t>1. Non invasieve beademing</t>
  </si>
  <si>
    <t>COD982 Toeslag beademing</t>
  </si>
  <si>
    <t>2. Invasieven beademing</t>
  </si>
  <si>
    <t xml:space="preserve">Extra Overbruggingszorg (AW) </t>
  </si>
  <si>
    <t>Extra overbruggingszorg (AW)</t>
  </si>
  <si>
    <t>1. Extra overbrugging (actief wachtend)</t>
  </si>
  <si>
    <t>COD983 Toeslag overig</t>
  </si>
  <si>
    <t>PTZ</t>
  </si>
  <si>
    <t>2. Palliatief terminale zorg (PTZ)</t>
  </si>
  <si>
    <t>3. Meerzorg</t>
  </si>
  <si>
    <t>Extra budget voor Behandeling (als basisbudget incl behandeling niet past)</t>
  </si>
  <si>
    <t>Extra behandeling</t>
  </si>
  <si>
    <t>4. Extra budget voor behandeling</t>
  </si>
  <si>
    <t>Overige reden voor aanvraag extra budget maar betreft een andere reden</t>
  </si>
  <si>
    <t>5. Overig</t>
  </si>
  <si>
    <t>Gespecialiseerd verpleegkundig handelen (GVP)</t>
  </si>
  <si>
    <t>GVP</t>
  </si>
  <si>
    <t>6. Gespecialiseerd verpleegkundig handelen</t>
  </si>
  <si>
    <t>Voor Toeslag overig geldt: CD048: Als ExtraKostenThuis en ToeslagBeademing niet gevuld zijn, dan verplicht vullen, anders leeg laten.</t>
  </si>
  <si>
    <t xml:space="preserve"> Totaal jaarbasis</t>
  </si>
  <si>
    <t>Totaal weekbasis</t>
  </si>
  <si>
    <t>ZZPCode</t>
  </si>
  <si>
    <t>Dagtarief excl. dagbesteding</t>
  </si>
  <si>
    <t>Dagtarief incl. dagbesteding</t>
  </si>
  <si>
    <t>Bedrag dagbesteding</t>
  </si>
  <si>
    <t>Voll. perc</t>
  </si>
  <si>
    <t>Tarief Verblijf</t>
  </si>
  <si>
    <t>Tarief Verblijf dagbesteding</t>
  </si>
  <si>
    <t>Beschrijving</t>
  </si>
  <si>
    <t>Uitgebreide omschrijving</t>
  </si>
  <si>
    <t>Tarief VPT</t>
  </si>
  <si>
    <t>Tarief VPT dagbesteding</t>
  </si>
  <si>
    <t>LET OP!</t>
  </si>
  <si>
    <t>is het tarief incl NIC/NHC</t>
  </si>
  <si>
    <t>Doelmatig</t>
  </si>
  <si>
    <t>Persoon met SOM, LG en/of ZG beperking met betaalde arbeid of die opleiding/studie volgt</t>
  </si>
  <si>
    <t>Extra overbruggingszorg (Actief wachtend)</t>
  </si>
  <si>
    <t>Gespecialiseerd Verpleegkundig Handelen (GVP) </t>
  </si>
  <si>
    <t>Palliatief terminale zorg (PTZ)</t>
  </si>
  <si>
    <t>Adviesformulier verantwoorde zorg thuis</t>
  </si>
  <si>
    <t>Om te beoordelen of de door u aangevraagde zorg thuis verantwoord is, ontvangen wij graag uw professionele advies.</t>
  </si>
  <si>
    <t>CONTACTGEGEVENS ZORGAANBIEDER</t>
  </si>
  <si>
    <t>Regulier VPT of MPT is verantwoord</t>
  </si>
  <si>
    <t>Regulier VPT of MPT is niet verantwoord</t>
  </si>
  <si>
    <t>Er is afdoende zelfregie</t>
  </si>
  <si>
    <t>Is zorg thuis verantwoord, maar is er sprake van hoge inzet behandeling, ga dan direct naar vraag 5</t>
  </si>
  <si>
    <t xml:space="preserve">Kan de cliënt goed bepalen wat hij wil, zijn situatie goed inschatten en daarvoor zijn verantwoordelijkheid nemen (mate van zelfregie)? </t>
  </si>
  <si>
    <t>Per week</t>
  </si>
  <si>
    <r>
      <t>7.</t>
    </r>
    <r>
      <rPr>
        <sz val="7"/>
        <color theme="1"/>
        <rFont val="Times New Roman"/>
        <family val="1"/>
      </rPr>
      <t xml:space="preserve">       </t>
    </r>
    <r>
      <rPr>
        <sz val="11"/>
        <color theme="1"/>
        <rFont val="Calibri"/>
        <family val="2"/>
        <scheme val="minor"/>
      </rPr>
      <t>De EKT wordt berekend over het basisbudget (inclusiefbehandeling indien nodig). Het maximale percentage als gevolg van EKT  is 125%.</t>
    </r>
  </si>
  <si>
    <t>4.</t>
  </si>
  <si>
    <t>5.</t>
  </si>
  <si>
    <t xml:space="preserve">7. </t>
  </si>
  <si>
    <t>Is noodzakelijke achterwacht (mantelzorg) ingeregeld?</t>
  </si>
  <si>
    <t>Ja, noodzakelijke achterwacht is 24 uur per dag beschikbaar, maar overbelasting dreigt</t>
  </si>
  <si>
    <t>een ernstig gevaar voor zichzelf vormt (is gedesoriënteerd in tijd en/of  plaats en/of persoon en/of kan gevaar niet inschatten).</t>
  </si>
  <si>
    <t>zichzelf ernstig verwaarloost (ernstig tekort aan voeding/vocht/medicatie inname, lichamelijke verzorging en/of hygiene van de omgeving).</t>
  </si>
  <si>
    <t>Woonsituatie</t>
  </si>
  <si>
    <t>Woont zelfstandig</t>
  </si>
  <si>
    <t>Woont met partner (beide Wlz geïndiceerd)</t>
  </si>
  <si>
    <t>Woont bij ouder(s)/verzorger(s)</t>
  </si>
  <si>
    <t>Klik hier om een keuze te maken</t>
  </si>
  <si>
    <t>Woont met partner (partner heeft geen Wlz indicatie)</t>
  </si>
  <si>
    <t>Woont geclusterd</t>
  </si>
  <si>
    <t>klik hier om een keuze te maken</t>
  </si>
  <si>
    <t>"vul hier dagtekening aanvraag in"</t>
  </si>
  <si>
    <t>Er is nog geen advies mogelijk, graag nader overleg met het zorgkantoor</t>
  </si>
  <si>
    <t>Ja, er is sprake van een gevaarscriterium omdat de cliënt:</t>
  </si>
  <si>
    <t>met zijn gedrag een risico vormt voor mensen in zijn omgeving (door bijvoorbeeld gedragsproblematiek naar andere mensen).</t>
  </si>
  <si>
    <t>zelf niet adequaat kan alarmeren en er geen permanent 24 uurs toezicht is geborgd. Daardoor is er risico op acuut levensgevaar (bijvoorbeeld bij ernstige ademhalingsproblematiek en/of continue risico op verslikking).</t>
  </si>
  <si>
    <t>spullen in zijn omgeving kapot maakt en daardoor een risico vormt voor de algemene veiligheid.</t>
  </si>
  <si>
    <t>er niet zeker van is dat bij acuut levensgevaar een (bekwame) zorgverlener of mantelzorger binnen 10 minuten aanwezig is of omdat medische zorg niet geborgd is binnen 30 minuten.</t>
  </si>
  <si>
    <r>
      <rPr>
        <sz val="10"/>
        <color theme="1"/>
        <rFont val="Arial"/>
        <family val="2"/>
      </rPr>
      <t>Ja,</t>
    </r>
    <r>
      <rPr>
        <sz val="10"/>
        <color indexed="8"/>
        <rFont val="Arial"/>
        <family val="2"/>
      </rPr>
      <t xml:space="preserve"> ons advies wordt gedeeld </t>
    </r>
  </si>
  <si>
    <t>Versie 28 juni 2018</t>
  </si>
  <si>
    <t>H881</t>
  </si>
  <si>
    <t>Vervoer dagbesteding/dagbehandeling ghz - categorie 1</t>
  </si>
  <si>
    <t>H882</t>
  </si>
  <si>
    <t>Vervoer dagbesteding/dagbehandeling ghz - categorie 2</t>
  </si>
  <si>
    <t>H883</t>
  </si>
  <si>
    <t>Vervoer dagbesteding/dagbehandeling ghz - categorie 3</t>
  </si>
  <si>
    <t>H884</t>
  </si>
  <si>
    <t>Vervoer dagbesteding/dagbehandeling ghz - categorie 4</t>
  </si>
  <si>
    <t>H885</t>
  </si>
  <si>
    <t>Vervoer dagbesteding/dagbehandeling ghz - categorie 5</t>
  </si>
  <si>
    <t>H881 Vervoer dagbesteding/dagbehandeling ghz - categorie 1</t>
  </si>
  <si>
    <t>H882 Vervoer dagbesteding/dagbehandeling ghz - categorie 2</t>
  </si>
  <si>
    <t>H883 Vervoer dagbesteding/dagbehandeling ghz - categorie 3</t>
  </si>
  <si>
    <t>H884 Vervoer dagbesteding/dagbehandeling ghz - categorie 4</t>
  </si>
  <si>
    <t>H885 Vervoer dagbesteding/dagbehandeling ghz - categorie 5</t>
  </si>
  <si>
    <t>( e )</t>
  </si>
  <si>
    <t>(a+b+c+d+e)</t>
  </si>
  <si>
    <t>ZZP 1vv excl.bh incl.db</t>
  </si>
  <si>
    <t>ZZP 2vv excl.bh incl.db</t>
  </si>
  <si>
    <t>ZZP 9bvv incl.bhincl.db</t>
  </si>
  <si>
    <t>ZZP 10vv incl.bhincl.db</t>
  </si>
  <si>
    <t>ZZP 1vg excl.bh excl.db</t>
  </si>
  <si>
    <t>ZZP 2vg excl.bh excl.db</t>
  </si>
  <si>
    <t>ZZP 1vg excl.bh incl.db</t>
  </si>
  <si>
    <t>ZZP 2vg excl.bh incl.db</t>
  </si>
  <si>
    <t>ZZP 1lg excl.bh excl.db</t>
  </si>
  <si>
    <t>ZZP 2lg excl.bh excl.db</t>
  </si>
  <si>
    <t>ZZP 1lg excl.bh incl.db</t>
  </si>
  <si>
    <t>ZZP 2lg excl.bh incl.db</t>
  </si>
  <si>
    <t>ZZP 1zg-visueel excl.bh excl.db</t>
  </si>
  <si>
    <t>ZZP 2zg-visueel excl.bh excl.db</t>
  </si>
  <si>
    <t>ZZP 1zg-visueel excl.bh incl.db</t>
  </si>
  <si>
    <t>ZZP 2zg-visueel excl.bh incl.db</t>
  </si>
  <si>
    <t>H906</t>
  </si>
  <si>
    <t>V941</t>
  </si>
  <si>
    <t>V942</t>
  </si>
  <si>
    <t>V943</t>
  </si>
  <si>
    <t>V944</t>
  </si>
  <si>
    <t>V945</t>
  </si>
  <si>
    <t xml:space="preserve"> ( a )</t>
  </si>
  <si>
    <t xml:space="preserve"> ( b )</t>
  </si>
  <si>
    <t>( c )</t>
  </si>
  <si>
    <t>( d)</t>
  </si>
  <si>
    <t>Bijlage 3 bij BR/REG-19121a Beleidsregel prestatiebeschrijvingen en tarieven zorgzwaartepakketten en volledig pakket thuis 2019 *</t>
  </si>
  <si>
    <t>Loon</t>
  </si>
  <si>
    <t>Materieel</t>
  </si>
  <si>
    <t>Dagbesteding vg zwaar (vg8)</t>
  </si>
  <si>
    <t>Z941</t>
  </si>
  <si>
    <t>Z942</t>
  </si>
  <si>
    <t>Z943</t>
  </si>
  <si>
    <t>Z944</t>
  </si>
  <si>
    <t>Z945</t>
  </si>
  <si>
    <t>H981</t>
  </si>
  <si>
    <t>H982</t>
  </si>
  <si>
    <t>H983</t>
  </si>
  <si>
    <t>H984</t>
  </si>
  <si>
    <t>H985</t>
  </si>
  <si>
    <t>Z984</t>
  </si>
  <si>
    <t>Toeslag intensieve gespecialiseeerde ggz-zorg voor cliënten</t>
  </si>
  <si>
    <t>**</t>
  </si>
  <si>
    <t>in crisisopvang/spoedzorg ghz vg met behandeling</t>
  </si>
  <si>
    <t>Z983</t>
  </si>
  <si>
    <t>Toeslag KDC</t>
  </si>
  <si>
    <t>Nieuwe prestaties per 2019</t>
  </si>
  <si>
    <t>Vervallen prestaties per 2019</t>
  </si>
  <si>
    <t>Voor een nadere toelichting op deze beleidsregelwaarden verwijzen wij naar het (nog te publiceren) verantwoordingsdocument Prestaties en tarieven Langdurige zorg, Fase 2: van kosten naar tarieven.</t>
  </si>
  <si>
    <t>Voor de prestatie Z984 verwijzen wij specifiek naar de toelichting op artikel 7.19 van de Beleidsregel prestatiebeschrijvingen en tarieven zorgzwaartepakketten en volledig pakket thuis 2019.</t>
  </si>
  <si>
    <t>Materiaal</t>
  </si>
  <si>
    <t>VPT EX behandeling</t>
  </si>
  <si>
    <t>VPT incl behandeling</t>
  </si>
  <si>
    <t>Profiel</t>
  </si>
  <si>
    <t>Tarieventabel 2019 pgb-Wlz (ZZP of zorgprofiel)</t>
  </si>
  <si>
    <t>Bijlage 3 bij BR/REG-19121 Beleidsregel prestatiebeschrijvingen en tarieven volledig pakket thuis 2019</t>
  </si>
  <si>
    <t>zorg</t>
  </si>
  <si>
    <t>ruimte</t>
  </si>
  <si>
    <t>H906 Dagbesteding vg zwaar (vg8)</t>
  </si>
  <si>
    <t>Z995 Verblijfscomponent niet-geïndiceerde partner vv</t>
  </si>
  <si>
    <t>Z997 Verblijfscomponent niet-geïndiceerde partner ghz: vg en lg</t>
  </si>
  <si>
    <t>Z998 Verblijfscomponent niet-geïndiceerde partner ghz: zg</t>
  </si>
  <si>
    <t>Z916 Mutatiedag (vv), niet toegelaten voor behandeling</t>
  </si>
  <si>
    <t>Z917 Mutatiedag (vv), toegelaten voor behandeling</t>
  </si>
  <si>
    <t>Z110 Crisisopvang/spoedzorg vv met behandeling</t>
  </si>
  <si>
    <t>Z490 Crisisopvang/spoedzorg ghz vg zonder behandeling</t>
  </si>
  <si>
    <t>Z491 Crisisopvang/spoedzorg ghz vg met behandeling</t>
  </si>
  <si>
    <t xml:space="preserve">Z560 Crisisopvang/spoedzorg lvg </t>
  </si>
  <si>
    <t>Z280 Klinisch Intensieve Behandeling</t>
  </si>
  <si>
    <t>Z999 Logeren ghz-vg</t>
  </si>
  <si>
    <t>Z1000 Logeren ghz-lg</t>
  </si>
  <si>
    <t>Z1001 Logeren ghz-lvg</t>
  </si>
  <si>
    <t>Z1002 Logeren ghz-zg</t>
  </si>
  <si>
    <t>Z1003 Logeren vv</t>
  </si>
  <si>
    <t>Z901 Vervoer dagbesteding/dagbehandeling vv</t>
  </si>
  <si>
    <t>Z902 Vervoer dagbesteding ggz</t>
  </si>
  <si>
    <t>Z941 Vervoer dagbesteding/dagbehandeling ghz - categorie 1</t>
  </si>
  <si>
    <t>Z942 Vervoer dagbesteding/dagbehandeling ghz - categorie 2</t>
  </si>
  <si>
    <t>Z943 Vervoer dagbesteding/dagbehandeling ghz - categorie 3</t>
  </si>
  <si>
    <t>Z944 Vervoer dagbesteding/dagbehandeling ghz - categorie 4</t>
  </si>
  <si>
    <t>Z945 Vervoer dagbesteding/dagbehandeling ghz - categorie 5</t>
  </si>
  <si>
    <t>H981 Vervoer dagbesteding/dagbehandeling ghz - categorie 1</t>
  </si>
  <si>
    <t>H982 Vervoer dagbesteding/dagbehandeling ghz - categorie 2</t>
  </si>
  <si>
    <t>H983 Vervoer dagbesteding/dagbehandeling ghz - categorie 3</t>
  </si>
  <si>
    <t>H984 Vervoer dagbesteding/dagbehandeling ghz - categorie 4</t>
  </si>
  <si>
    <t>H985 Vervoer dagbesteding/dagbehandeling ghz - categorie 5</t>
  </si>
  <si>
    <t>Z920 Toeslag Huntington</t>
  </si>
  <si>
    <t>Z910 Toeslag Cerebro Vasculair Accident (CVA)</t>
  </si>
  <si>
    <t>Z918 Toeslag Invasieve beademing</t>
  </si>
  <si>
    <t>Z921 Toeslag Non-invasieve beademing</t>
  </si>
  <si>
    <t xml:space="preserve">Z911 Toeslag Multifunctioneel centrum (MFC) </t>
  </si>
  <si>
    <t>Z912 Toeslag observatie</t>
  </si>
  <si>
    <t>Z975 Toeslag gespecialiseerde epilepsie zorg (GEZ) laag</t>
  </si>
  <si>
    <t>Z976 Toeslag gespecialiseerde epilepsiezorg (GEZ) midden</t>
  </si>
  <si>
    <t>Z977 Toeslag gespecialiseerde epilepsiezorg (GEZ) hoog</t>
  </si>
  <si>
    <t>Z922 Toeslag Niet Strafrechtelijk forensische psychiatrie (NSFP)</t>
  </si>
  <si>
    <t>Z978 Toeslag woonzorg ghz kind</t>
  </si>
  <si>
    <t>Z979 Toeslag woonzorg ghz jeugd</t>
  </si>
  <si>
    <t>Z980 Toeslag woonzorg ghz jong volwassen</t>
  </si>
  <si>
    <t>Z982 Toeslag woonzorg ggz jong volwassen</t>
  </si>
  <si>
    <t>Z981 Toeslag gespecialiseerde behandelzorg</t>
  </si>
  <si>
    <t>Z984 Toeslag intensieve gespecialiseeerde ggz-zorg voor cliënten</t>
  </si>
  <si>
    <t xml:space="preserve"> in crisisopvang/spoedzorg ghz vg met behandeling</t>
  </si>
  <si>
    <t>Z913 Toeslag dagbesteding ghz kind - licht</t>
  </si>
  <si>
    <t>Z914 Toeslag dagbesteding ghz kind - midden</t>
  </si>
  <si>
    <t>Z915 Toeslag dagbesteding ghz kind - zwaar</t>
  </si>
  <si>
    <t>Z919 Toeslag dagbesteding ghz kind - vg5/vg8 midden emg</t>
  </si>
  <si>
    <t>H940 Toeslag kind dagbesteding vg licht</t>
  </si>
  <si>
    <t>H941 Toeslag kind dagbesteding vg midden</t>
  </si>
  <si>
    <t>H942 Toeslag kind dagbesteding vg5/ vg8 midden emg</t>
  </si>
  <si>
    <t>H943 Toeslag kind dagbesteding vg zwaar</t>
  </si>
  <si>
    <t>H950 Toeslag kind dagbesteding lg licht</t>
  </si>
  <si>
    <t>H951 Toeslag kind dagbesteding lg midden</t>
  </si>
  <si>
    <t>H952 Toeslag kind dagbesteding lg zwaar</t>
  </si>
  <si>
    <t>H960 Toeslag kind dagbesteding zg auditief licht</t>
  </si>
  <si>
    <t>H961 Toeslag kind dagbesteding zg auditief midden</t>
  </si>
  <si>
    <t>H962 Toeslag kind dagbesteding zg auditief zwaar</t>
  </si>
  <si>
    <t>H970 Toeslag kind dagbesteding zg visueel licht</t>
  </si>
  <si>
    <t>H971 Toeslag kind dagbesteding zg visueel midden</t>
  </si>
  <si>
    <t>H972 Toeslag kind dagbesteding zg visueel zwaar</t>
  </si>
  <si>
    <t>Z983 Toeslag KDC</t>
  </si>
  <si>
    <t>WZ041 Opslag Waardigheid en Trots zzp 4-vv excl. bh</t>
  </si>
  <si>
    <t>WZ051 Opslag Waardigheid en Trots zzp 5-vv excl. bh</t>
  </si>
  <si>
    <t>WZ061 Opslag Waardigheid en Trots zzp 6-vv excl. bh</t>
  </si>
  <si>
    <t>WZ071 Opslag Waardigheid en Trots zzp 7-vv excl. bh</t>
  </si>
  <si>
    <t>WZ081 Opslag Waardigheid en Trots zzp 8-vv excl. bh</t>
  </si>
  <si>
    <t>WZ095 Opslag Waardigheid en Trots zzp 9b-vv excl. bh</t>
  </si>
  <si>
    <t>WZ101 Opslag Waardigheid en Trots zzp 10-vv excl. bh</t>
  </si>
  <si>
    <t>WZ043 Opslag Waardigheid en Trots zzp 4-vv incl. bh</t>
  </si>
  <si>
    <t>WZ053 Opslag Waardigheid en Trots zzp 5-vv incl. bh</t>
  </si>
  <si>
    <t>WZ063 Opslag Waardigheid en Trots zzp 6-vv incl. bh</t>
  </si>
  <si>
    <t>WZ073 Opslag Waardigheid en Trots zzp 7-vv incl. bh</t>
  </si>
  <si>
    <t>WZ083 Opslag Waardigheid en Trots zzp 8-vv incl. bh</t>
  </si>
  <si>
    <t>WZ097 Opslag Waardigheid en Trots zzp 9b-vv incl. bh</t>
  </si>
  <si>
    <t>WZ103 Opslag Waardigheid en Trots zzp 10-vv incl. bh</t>
  </si>
  <si>
    <t>Z903 Vervoer dagbesteding GHZ intramuraal</t>
  </si>
  <si>
    <t>Z904 Vervoer dagbesteding GHZ rolstoel intramuraal</t>
  </si>
  <si>
    <t>Z905 Vervoer dagbesteding kind intramuraal</t>
  </si>
  <si>
    <t>Ja; Extra kosten thuis</t>
  </si>
  <si>
    <t>Lijst4</t>
  </si>
  <si>
    <t>lijst4</t>
  </si>
  <si>
    <t>versie: 04-12-2018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</si>
</sst>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 #,##0;[Red]&quot;€&quot;\ \-#,##0"/>
    <numFmt numFmtId="41" formatCode="_ * #,##0_ ;_ * \-#,##0_ ;_ * &quot;-&quot;_ ;_ @_ "/>
    <numFmt numFmtId="44" formatCode="_ &quot;€&quot;\ * #,##0.00_ ;_ &quot;€&quot;\ * \-#,##0.00_ ;_ &quot;€&quot;\ * &quot;-&quot;??_ ;_ @_ "/>
    <numFmt numFmtId="43" formatCode="_ * #,##0.00_ ;_ * \-#,##0.00_ ;_ * &quot;-&quot;??_ ;_ @_ "/>
    <numFmt numFmtId="164" formatCode="_-&quot;€&quot;\ * #,##0.00_-;_-&quot;€&quot;\ * #,##0.00\-;_-&quot;€&quot;\ * &quot;-&quot;??_-;_-@_-"/>
    <numFmt numFmtId="165" formatCode="0.0%"/>
    <numFmt numFmtId="166" formatCode="_ [$€-2]\ * #,##0.00_ ;_ [$€-2]\ * \-#,##0.00_ ;_ [$€-2]\ * &quot;-&quot;??_ ;_ @_ "/>
    <numFmt numFmtId="167" formatCode="_(&quot;€&quot;\ * #,##0_);_(&quot;€&quot;\ * \(#,##0\);_(&quot;€&quot;\ * &quot;-&quot;_);_(@_)"/>
    <numFmt numFmtId="168" formatCode="0.0000"/>
    <numFmt numFmtId="169" formatCode="_-* #,##0.00_-;_-* #,##0.00\-;_-* &quot;-&quot;??_-;_-@_-"/>
    <numFmt numFmtId="170" formatCode="\ \ƒ* #,##0_ \ ;\ \ƒ* ;\ \ƒ* "/>
    <numFmt numFmtId="171" formatCode="&quot;F&quot;\ #,##0_-;&quot;F&quot;\ #,##0\-"/>
    <numFmt numFmtId="172" formatCode="#,##0_ \ ;\(#,##0\)_ ;"/>
    <numFmt numFmtId="173" formatCode="&quot;€&quot;\ #,##0.00"/>
  </numFmts>
  <fonts count="104" x14ac:knownFonts="1">
    <font>
      <sz val="11"/>
      <color theme="1"/>
      <name val="Calibri"/>
      <family val="2"/>
      <scheme val="minor"/>
    </font>
    <font>
      <b/>
      <sz val="9"/>
      <color theme="1"/>
      <name val="Arial"/>
      <family val="2"/>
    </font>
    <font>
      <sz val="9"/>
      <color theme="1"/>
      <name val="Arial"/>
      <family val="2"/>
    </font>
    <font>
      <b/>
      <sz val="9"/>
      <name val="Calibri"/>
      <family val="2"/>
    </font>
    <font>
      <sz val="11"/>
      <color theme="0"/>
      <name val="Calibri"/>
      <family val="2"/>
      <scheme val="minor"/>
    </font>
    <font>
      <sz val="20"/>
      <color theme="0"/>
      <name val="Calibri"/>
      <family val="2"/>
      <scheme val="minor"/>
    </font>
    <font>
      <b/>
      <sz val="14"/>
      <color theme="0"/>
      <name val="Calibri"/>
      <family val="2"/>
      <scheme val="minor"/>
    </font>
    <font>
      <sz val="14"/>
      <color theme="1"/>
      <name val="Calibri"/>
      <family val="2"/>
      <scheme val="minor"/>
    </font>
    <font>
      <sz val="11"/>
      <color theme="3" tint="-0.249977111117893"/>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20"/>
      <color theme="1"/>
      <name val="Calibri"/>
      <family val="2"/>
      <scheme val="minor"/>
    </font>
    <font>
      <b/>
      <sz val="16"/>
      <color rgb="FFFFFF00"/>
      <name val="Calibri"/>
      <family val="2"/>
      <scheme val="minor"/>
    </font>
    <font>
      <b/>
      <sz val="14"/>
      <color theme="1"/>
      <name val="Calibri"/>
      <family val="2"/>
      <scheme val="minor"/>
    </font>
    <font>
      <sz val="12"/>
      <color theme="3" tint="-0.249977111117893"/>
      <name val="Calibri"/>
      <family val="2"/>
      <scheme val="minor"/>
    </font>
    <font>
      <sz val="11"/>
      <color theme="1"/>
      <name val="Calibri"/>
      <family val="2"/>
      <scheme val="minor"/>
    </font>
    <font>
      <sz val="10"/>
      <name val="Arial"/>
      <family val="2"/>
    </font>
    <font>
      <sz val="10"/>
      <color rgb="FF002060"/>
      <name val="Calibri"/>
      <family val="2"/>
      <scheme val="minor"/>
    </font>
    <font>
      <b/>
      <sz val="14"/>
      <color theme="3" tint="-0.249977111117893"/>
      <name val="Calibri"/>
      <family val="2"/>
      <scheme val="minor"/>
    </font>
    <font>
      <sz val="10"/>
      <color theme="1"/>
      <name val="Arial"/>
      <family val="2"/>
    </font>
    <font>
      <b/>
      <sz val="10"/>
      <color theme="1"/>
      <name val="Arial"/>
      <family val="2"/>
    </font>
    <font>
      <i/>
      <sz val="10"/>
      <color rgb="FF808080"/>
      <name val="Arial"/>
      <family val="2"/>
    </font>
    <font>
      <i/>
      <sz val="10"/>
      <color theme="1"/>
      <name val="Arial"/>
      <family val="2"/>
    </font>
    <font>
      <b/>
      <sz val="10"/>
      <color theme="0"/>
      <name val="Arial"/>
      <family val="2"/>
    </font>
    <font>
      <b/>
      <sz val="10"/>
      <color rgb="FFFFFFFF"/>
      <name val="Arial"/>
      <family val="2"/>
    </font>
    <font>
      <sz val="24"/>
      <color rgb="FF31849B"/>
      <name val="Arial"/>
      <family val="2"/>
    </font>
    <font>
      <sz val="24"/>
      <color theme="1"/>
      <name val="Arial"/>
      <family val="2"/>
    </font>
    <font>
      <sz val="8"/>
      <color theme="1"/>
      <name val="Arial"/>
      <family val="2"/>
    </font>
    <font>
      <sz val="8"/>
      <color theme="1"/>
      <name val="Calibri"/>
      <family val="2"/>
      <scheme val="minor"/>
    </font>
    <font>
      <i/>
      <sz val="11"/>
      <color theme="0"/>
      <name val="Calibri"/>
      <family val="2"/>
      <scheme val="minor"/>
    </font>
    <font>
      <sz val="20"/>
      <color rgb="FF31849B"/>
      <name val="Arial"/>
      <family val="2"/>
    </font>
    <font>
      <sz val="20"/>
      <color theme="1"/>
      <name val="Arial"/>
      <family val="2"/>
    </font>
    <font>
      <sz val="20"/>
      <color theme="1"/>
      <name val="Calibri"/>
      <family val="2"/>
      <scheme val="minor"/>
    </font>
    <font>
      <sz val="10"/>
      <color rgb="FF002060"/>
      <name val="Arial"/>
      <family val="2"/>
    </font>
    <font>
      <i/>
      <sz val="10"/>
      <color rgb="FF002060"/>
      <name val="Arial"/>
      <family val="2"/>
    </font>
    <font>
      <sz val="10"/>
      <color indexed="8"/>
      <name val="Arial"/>
      <family val="2"/>
    </font>
    <font>
      <sz val="10"/>
      <color indexed="30"/>
      <name val="Arial"/>
      <family val="2"/>
    </font>
    <font>
      <b/>
      <sz val="9"/>
      <color indexed="8"/>
      <name val="Arial"/>
      <family val="2"/>
    </font>
    <font>
      <sz val="9"/>
      <color indexed="8"/>
      <name val="Arial"/>
      <family val="2"/>
    </font>
    <font>
      <b/>
      <sz val="12"/>
      <name val="Arial"/>
      <family val="2"/>
    </font>
    <font>
      <sz val="8"/>
      <color indexed="8"/>
      <name val="Arial"/>
      <family val="2"/>
    </font>
    <font>
      <sz val="10"/>
      <color rgb="FF002060"/>
      <name val="Calibri"/>
      <family val="2"/>
    </font>
    <font>
      <b/>
      <sz val="10"/>
      <color rgb="FF002060"/>
      <name val="Calibri"/>
      <family val="2"/>
      <scheme val="minor"/>
    </font>
    <font>
      <sz val="10"/>
      <color theme="1"/>
      <name val="Calibri"/>
      <family val="2"/>
      <scheme val="minor"/>
    </font>
    <font>
      <sz val="11"/>
      <name val="Calibri"/>
      <family val="2"/>
      <scheme val="minor"/>
    </font>
    <font>
      <u/>
      <sz val="11"/>
      <color theme="10"/>
      <name val="Calibri"/>
      <family val="2"/>
      <scheme val="minor"/>
    </font>
    <font>
      <sz val="11"/>
      <color indexed="8"/>
      <name val="Calibri"/>
      <family val="2"/>
      <scheme val="minor"/>
    </font>
    <font>
      <b/>
      <sz val="20"/>
      <color theme="0"/>
      <name val="Calibri"/>
      <family val="2"/>
      <scheme val="minor"/>
    </font>
    <font>
      <b/>
      <sz val="14"/>
      <color rgb="FFCC0066"/>
      <name val="Calibri"/>
      <family val="2"/>
      <scheme val="minor"/>
    </font>
    <font>
      <sz val="18"/>
      <color theme="3" tint="-0.249977111117893"/>
      <name val="Calibri"/>
      <family val="2"/>
      <scheme val="minor"/>
    </font>
    <font>
      <b/>
      <sz val="18"/>
      <color theme="3"/>
      <name val="Cambria"/>
      <family val="2"/>
      <scheme val="major"/>
    </font>
    <font>
      <sz val="9"/>
      <name val="Verdana"/>
      <family val="2"/>
    </font>
    <font>
      <sz val="8"/>
      <name val="Helv"/>
    </font>
    <font>
      <sz val="11"/>
      <color indexed="8"/>
      <name val="Calibri"/>
      <family val="2"/>
    </font>
    <font>
      <b/>
      <sz val="14"/>
      <name val="Helv"/>
    </font>
    <font>
      <sz val="9"/>
      <name val="Helv"/>
    </font>
    <font>
      <sz val="9"/>
      <name val="Arial"/>
      <family val="2"/>
    </font>
    <font>
      <b/>
      <sz val="9"/>
      <name val="Arial"/>
      <family val="2"/>
    </font>
    <font>
      <sz val="24"/>
      <color indexed="13"/>
      <name val="Helv"/>
    </font>
    <font>
      <b/>
      <sz val="9"/>
      <color theme="1"/>
      <name val="Verdana"/>
      <family val="2"/>
    </font>
    <font>
      <sz val="9"/>
      <color theme="1"/>
      <name val="Verdana"/>
      <family val="2"/>
    </font>
    <font>
      <sz val="14"/>
      <color theme="3" tint="-0.249977111117893"/>
      <name val="Calibri"/>
      <family val="2"/>
      <scheme val="minor"/>
    </font>
    <font>
      <sz val="14"/>
      <color theme="0"/>
      <name val="Calibri"/>
      <family val="2"/>
      <scheme val="minor"/>
    </font>
    <font>
      <sz val="14"/>
      <color rgb="FF002060"/>
      <name val="Calibri"/>
      <family val="2"/>
      <scheme val="minor"/>
    </font>
    <font>
      <sz val="14"/>
      <name val="Calibri"/>
      <family val="2"/>
    </font>
    <font>
      <b/>
      <sz val="14"/>
      <color theme="1"/>
      <name val="Arial"/>
      <family val="2"/>
    </font>
    <font>
      <sz val="14"/>
      <color rgb="FFFF0000"/>
      <name val="Calibri"/>
      <family val="2"/>
      <scheme val="minor"/>
    </font>
    <font>
      <sz val="14"/>
      <color theme="1"/>
      <name val="Arial"/>
      <family val="2"/>
    </font>
    <font>
      <sz val="14"/>
      <color indexed="8"/>
      <name val="Arial"/>
      <family val="2"/>
    </font>
    <font>
      <sz val="14"/>
      <color indexed="8"/>
      <name val="Microsoft JhengHei UI"/>
      <family val="2"/>
    </font>
    <font>
      <sz val="14"/>
      <color rgb="FF00B050"/>
      <name val="Calibri"/>
      <family val="2"/>
      <scheme val="minor"/>
    </font>
    <font>
      <sz val="11"/>
      <color theme="0"/>
      <name val="Wingdings 2"/>
      <family val="1"/>
      <charset val="2"/>
    </font>
    <font>
      <sz val="12"/>
      <color theme="0"/>
      <name val="Calibri"/>
      <family val="2"/>
      <scheme val="minor"/>
    </font>
    <font>
      <sz val="11"/>
      <color rgb="FFCC0066"/>
      <name val="Calibri"/>
      <family val="2"/>
      <scheme val="minor"/>
    </font>
    <font>
      <sz val="16"/>
      <color rgb="FFCC0066"/>
      <name val="Calibri"/>
      <family val="2"/>
      <scheme val="minor"/>
    </font>
    <font>
      <sz val="10"/>
      <color rgb="FFCC0066"/>
      <name val="Calibri"/>
      <family val="2"/>
      <scheme val="minor"/>
    </font>
    <font>
      <u/>
      <sz val="14"/>
      <color theme="0"/>
      <name val="Calibri"/>
      <family val="2"/>
      <scheme val="minor"/>
    </font>
    <font>
      <u/>
      <sz val="11"/>
      <color theme="0"/>
      <name val="Calibri"/>
      <family val="2"/>
      <scheme val="minor"/>
    </font>
    <font>
      <sz val="11"/>
      <color rgb="FF2B413C"/>
      <name val="Calibri"/>
      <family val="2"/>
      <scheme val="minor"/>
    </font>
    <font>
      <b/>
      <sz val="14"/>
      <color rgb="FF2B413C"/>
      <name val="Calibri"/>
      <family val="2"/>
      <scheme val="minor"/>
    </font>
    <font>
      <i/>
      <sz val="14"/>
      <color rgb="FF2B413C"/>
      <name val="Calibri"/>
      <family val="2"/>
      <scheme val="minor"/>
    </font>
    <font>
      <i/>
      <sz val="11"/>
      <color rgb="FF2B413C"/>
      <name val="Calibri"/>
      <family val="2"/>
      <scheme val="minor"/>
    </font>
    <font>
      <sz val="14"/>
      <color rgb="FF2B413C"/>
      <name val="Calibri"/>
      <family val="2"/>
      <scheme val="minor"/>
    </font>
    <font>
      <b/>
      <sz val="16"/>
      <color rgb="FF2B413C"/>
      <name val="Calibri"/>
      <family val="2"/>
      <scheme val="minor"/>
    </font>
    <font>
      <b/>
      <sz val="12"/>
      <color rgb="FF2B413C"/>
      <name val="Calibri"/>
      <family val="2"/>
      <scheme val="minor"/>
    </font>
    <font>
      <sz val="16"/>
      <color theme="0"/>
      <name val="Calibri"/>
      <family val="2"/>
      <scheme val="minor"/>
    </font>
    <font>
      <b/>
      <i/>
      <sz val="16"/>
      <color theme="0"/>
      <name val="Calibri"/>
      <family val="2"/>
      <scheme val="minor"/>
    </font>
    <font>
      <sz val="20"/>
      <color rgb="FF2B413C"/>
      <name val="Calibri"/>
      <family val="2"/>
      <scheme val="minor"/>
    </font>
    <font>
      <sz val="16"/>
      <color rgb="FF2B413C"/>
      <name val="Calibri"/>
      <family val="2"/>
      <scheme val="minor"/>
    </font>
    <font>
      <sz val="11"/>
      <color theme="2" tint="-0.749992370372631"/>
      <name val="Calibri"/>
      <family val="2"/>
      <scheme val="minor"/>
    </font>
    <font>
      <sz val="14"/>
      <color theme="2" tint="-0.749992370372631"/>
      <name val="Calibri"/>
      <family val="2"/>
      <scheme val="minor"/>
    </font>
    <font>
      <b/>
      <sz val="13"/>
      <color rgb="FF4F81BD"/>
      <name val="Cambria"/>
      <family val="1"/>
    </font>
    <font>
      <sz val="7"/>
      <color theme="1"/>
      <name val="Times New Roman"/>
      <family val="1"/>
    </font>
    <font>
      <sz val="11"/>
      <color rgb="FF000000"/>
      <name val="Calibri"/>
      <family val="2"/>
      <scheme val="minor"/>
    </font>
    <font>
      <b/>
      <u/>
      <sz val="11"/>
      <color theme="1"/>
      <name val="Calibri"/>
      <family val="2"/>
      <scheme val="minor"/>
    </font>
    <font>
      <u/>
      <sz val="11"/>
      <color theme="1"/>
      <name val="Calibri"/>
      <family val="2"/>
      <scheme val="minor"/>
    </font>
    <font>
      <b/>
      <i/>
      <sz val="11"/>
      <color theme="1"/>
      <name val="Calibri"/>
      <family val="2"/>
      <scheme val="minor"/>
    </font>
    <font>
      <sz val="12"/>
      <color theme="1"/>
      <name val="Times New Roman"/>
      <family val="1"/>
    </font>
    <font>
      <b/>
      <sz val="10"/>
      <color rgb="FF000000"/>
      <name val="Calibri"/>
      <family val="2"/>
      <scheme val="minor"/>
    </font>
    <font>
      <sz val="10"/>
      <color rgb="FF000000"/>
      <name val="Calibri"/>
      <family val="2"/>
      <scheme val="minor"/>
    </font>
    <font>
      <sz val="11"/>
      <color rgb="FF333333"/>
      <name val="Arial"/>
      <family val="2"/>
    </font>
    <font>
      <sz val="10"/>
      <color rgb="FF333333"/>
      <name val="Arial"/>
      <family val="2"/>
    </font>
    <font>
      <sz val="10"/>
      <color rgb="FF000000"/>
      <name val="Arial"/>
      <family val="2"/>
    </font>
  </fonts>
  <fills count="47">
    <fill>
      <patternFill patternType="none"/>
    </fill>
    <fill>
      <patternFill patternType="gray125"/>
    </fill>
    <fill>
      <patternFill patternType="solid">
        <fgColor rgb="FFC0C0C0"/>
        <bgColor indexed="64"/>
      </patternFill>
    </fill>
    <fill>
      <patternFill patternType="solid">
        <fgColor rgb="FFFFFF00"/>
        <bgColor indexed="64"/>
      </patternFill>
    </fill>
    <fill>
      <patternFill patternType="solid">
        <fgColor indexed="52"/>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rgb="FFF2951A"/>
        <bgColor indexed="64"/>
      </patternFill>
    </fill>
    <fill>
      <patternFill patternType="solid">
        <fgColor theme="0"/>
        <bgColor indexed="64"/>
      </patternFill>
    </fill>
    <fill>
      <patternFill patternType="solid">
        <fgColor theme="7" tint="0.39994506668294322"/>
        <bgColor indexed="64"/>
      </patternFill>
    </fill>
    <fill>
      <patternFill patternType="solid">
        <fgColor theme="7" tint="0.39997558519241921"/>
        <bgColor indexed="64"/>
      </patternFill>
    </fill>
    <fill>
      <patternFill patternType="solid">
        <fgColor rgb="FF92D050"/>
        <bgColor indexed="64"/>
      </patternFill>
    </fill>
    <fill>
      <patternFill patternType="solid">
        <fgColor theme="4"/>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theme="6"/>
        <bgColor indexed="64"/>
      </patternFill>
    </fill>
    <fill>
      <patternFill patternType="solid">
        <fgColor theme="3" tint="0.39997558519241921"/>
        <bgColor indexed="64"/>
      </patternFill>
    </fill>
    <fill>
      <patternFill patternType="solid">
        <fgColor rgb="FFFFC000"/>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indexed="55"/>
        <bgColor indexed="64"/>
      </patternFill>
    </fill>
    <fill>
      <patternFill patternType="solid">
        <fgColor theme="0" tint="-0.14999847407452621"/>
        <bgColor indexed="64"/>
      </patternFill>
    </fill>
    <fill>
      <patternFill patternType="solid">
        <fgColor rgb="FFCCFF99"/>
        <bgColor indexed="64"/>
      </patternFill>
    </fill>
    <fill>
      <patternFill patternType="solid">
        <fgColor rgb="FF00FF0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D7DCEF"/>
        <bgColor indexed="64"/>
      </patternFill>
    </fill>
    <fill>
      <patternFill patternType="solid">
        <fgColor indexed="13"/>
      </patternFill>
    </fill>
    <fill>
      <patternFill patternType="solid">
        <fgColor indexed="43"/>
        <bgColor indexed="64"/>
      </patternFill>
    </fill>
    <fill>
      <patternFill patternType="solid">
        <fgColor indexed="12"/>
      </patternFill>
    </fill>
    <fill>
      <patternFill patternType="solid">
        <fgColor theme="2" tint="-0.249977111117893"/>
        <bgColor indexed="64"/>
      </patternFill>
    </fill>
  </fills>
  <borders count="5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thin">
        <color rgb="FFB2B2B2"/>
      </left>
      <right style="thin">
        <color rgb="FFB2B2B2"/>
      </right>
      <top style="thin">
        <color rgb="FFB2B2B2"/>
      </top>
      <bottom style="thin">
        <color rgb="FFB2B2B2"/>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double">
        <color indexed="8"/>
      </top>
      <bottom style="thin">
        <color indexed="8"/>
      </bottom>
      <diagonal/>
    </border>
    <border>
      <left style="medium">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149">
    <xf numFmtId="0" fontId="0" fillId="0" borderId="0"/>
    <xf numFmtId="44" fontId="16" fillId="0" borderId="0" applyFont="0" applyFill="0" applyBorder="0" applyAlignment="0" applyProtection="0"/>
    <xf numFmtId="0" fontId="17" fillId="0" borderId="0"/>
    <xf numFmtId="0" fontId="17" fillId="0" borderId="0"/>
    <xf numFmtId="0" fontId="17" fillId="0" borderId="0"/>
    <xf numFmtId="43" fontId="17" fillId="0" borderId="0" applyFont="0" applyFill="0" applyBorder="0" applyAlignment="0" applyProtection="0"/>
    <xf numFmtId="0" fontId="46" fillId="0" borderId="0" applyNumberFormat="0" applyFill="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41" fontId="52" fillId="42" borderId="47" applyProtection="0"/>
    <xf numFmtId="41" fontId="52" fillId="42" borderId="47" applyProtection="0"/>
    <xf numFmtId="41" fontId="52" fillId="42" borderId="47" applyProtection="0"/>
    <xf numFmtId="41" fontId="52" fillId="42" borderId="47" applyProtection="0"/>
    <xf numFmtId="41" fontId="52" fillId="42" borderId="47" applyProtection="0"/>
    <xf numFmtId="41" fontId="52" fillId="42" borderId="47" applyProtection="0"/>
    <xf numFmtId="169" fontId="17" fillId="0" borderId="0" applyFont="0" applyFill="0" applyBorder="0" applyAlignment="0" applyProtection="0"/>
    <xf numFmtId="169" fontId="17" fillId="0" borderId="0" applyFont="0" applyFill="0" applyBorder="0" applyAlignment="0" applyProtection="0"/>
    <xf numFmtId="0" fontId="53" fillId="0" borderId="0"/>
    <xf numFmtId="0" fontId="53" fillId="0" borderId="48"/>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43" fontId="54" fillId="0" borderId="0" applyFont="0" applyFill="0" applyBorder="0" applyAlignment="0" applyProtection="0"/>
    <xf numFmtId="0" fontId="55" fillId="43" borderId="48"/>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7" fillId="0" borderId="0"/>
    <xf numFmtId="0" fontId="17" fillId="0" borderId="0"/>
    <xf numFmtId="0" fontId="16" fillId="29" borderId="44" applyNumberFormat="0" applyFont="0" applyAlignment="0" applyProtection="0"/>
    <xf numFmtId="0" fontId="16" fillId="29" borderId="44" applyNumberFormat="0" applyFont="0" applyAlignment="0" applyProtection="0"/>
    <xf numFmtId="0" fontId="16" fillId="29" borderId="44" applyNumberFormat="0" applyFont="0" applyAlignment="0" applyProtection="0"/>
    <xf numFmtId="0" fontId="16" fillId="29" borderId="44" applyNumberFormat="0" applyFont="0" applyAlignment="0" applyProtection="0"/>
    <xf numFmtId="0" fontId="16" fillId="29" borderId="44" applyNumberFormat="0" applyFont="0" applyAlignment="0" applyProtection="0"/>
    <xf numFmtId="0" fontId="16" fillId="29" borderId="44" applyNumberFormat="0" applyFont="0" applyAlignment="0" applyProtection="0"/>
    <xf numFmtId="43" fontId="52" fillId="42" borderId="47" applyProtection="0"/>
    <xf numFmtId="43" fontId="52" fillId="42" borderId="47" applyProtection="0"/>
    <xf numFmtId="43" fontId="52" fillId="42" borderId="47" applyProtection="0"/>
    <xf numFmtId="43" fontId="52" fillId="42" borderId="47" applyProtection="0"/>
    <xf numFmtId="43" fontId="52" fillId="42" borderId="47" applyProtection="0"/>
    <xf numFmtId="43" fontId="52" fillId="42" borderId="47" applyProtection="0"/>
    <xf numFmtId="9" fontId="17" fillId="0" borderId="0" applyFont="0" applyFill="0" applyBorder="0" applyAlignment="0" applyProtection="0"/>
    <xf numFmtId="9" fontId="17" fillId="0" borderId="0" applyFont="0" applyFill="0" applyBorder="0" applyAlignment="0" applyProtection="0"/>
    <xf numFmtId="9" fontId="54" fillId="0" borderId="0" applyFont="0" applyFill="0" applyBorder="0" applyAlignment="0" applyProtection="0"/>
    <xf numFmtId="0" fontId="53"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7" fillId="0" borderId="0"/>
    <xf numFmtId="0" fontId="54" fillId="0" borderId="0"/>
    <xf numFmtId="0" fontId="57" fillId="0" borderId="42" applyFill="0" applyBorder="0"/>
    <xf numFmtId="170" fontId="57" fillId="0" borderId="42" applyFill="0" applyBorder="0"/>
    <xf numFmtId="0" fontId="57" fillId="0" borderId="42" applyFill="0" applyBorder="0"/>
    <xf numFmtId="0" fontId="58" fillId="44" borderId="49"/>
    <xf numFmtId="171" fontId="17" fillId="44" borderId="49"/>
    <xf numFmtId="171" fontId="17" fillId="44" borderId="49"/>
    <xf numFmtId="171" fontId="17" fillId="44" borderId="49"/>
    <xf numFmtId="171" fontId="17" fillId="44" borderId="49"/>
    <xf numFmtId="172" fontId="58" fillId="44" borderId="49"/>
    <xf numFmtId="172" fontId="57" fillId="0" borderId="42" applyFill="0" applyBorder="0"/>
    <xf numFmtId="0" fontId="53" fillId="0" borderId="48"/>
    <xf numFmtId="0" fontId="59" fillId="45" borderId="0"/>
    <xf numFmtId="0" fontId="51" fillId="0" borderId="0" applyNumberFormat="0" applyFill="0" applyBorder="0" applyAlignment="0" applyProtection="0"/>
    <xf numFmtId="0" fontId="55" fillId="0" borderId="50"/>
    <xf numFmtId="0" fontId="55" fillId="0" borderId="48"/>
    <xf numFmtId="164" fontId="17" fillId="0" borderId="0" applyFont="0" applyFill="0" applyBorder="0" applyAlignment="0" applyProtection="0"/>
    <xf numFmtId="164" fontId="17" fillId="0" borderId="0" applyFont="0" applyFill="0" applyBorder="0" applyAlignment="0" applyProtection="0"/>
    <xf numFmtId="44" fontId="16" fillId="0" borderId="0" applyFont="0" applyFill="0" applyBorder="0" applyAlignment="0" applyProtection="0"/>
    <xf numFmtId="9" fontId="16" fillId="0" borderId="0" applyFont="0" applyFill="0" applyBorder="0" applyAlignment="0" applyProtection="0"/>
    <xf numFmtId="0" fontId="53" fillId="0" borderId="52"/>
    <xf numFmtId="0" fontId="55" fillId="43" borderId="52"/>
    <xf numFmtId="0" fontId="58" fillId="44" borderId="53"/>
    <xf numFmtId="171" fontId="17" fillId="44" borderId="53"/>
    <xf numFmtId="171" fontId="17" fillId="44" borderId="53"/>
    <xf numFmtId="171" fontId="17" fillId="44" borderId="53"/>
    <xf numFmtId="171" fontId="17" fillId="44" borderId="53"/>
    <xf numFmtId="0" fontId="53" fillId="0" borderId="52"/>
    <xf numFmtId="0" fontId="55" fillId="0" borderId="52"/>
    <xf numFmtId="0" fontId="53" fillId="0" borderId="55"/>
    <xf numFmtId="0" fontId="55" fillId="43" borderId="55"/>
    <xf numFmtId="0" fontId="58" fillId="44" borderId="56"/>
    <xf numFmtId="171" fontId="17" fillId="44" borderId="56"/>
    <xf numFmtId="171" fontId="17" fillId="44" borderId="56"/>
    <xf numFmtId="171" fontId="17" fillId="44" borderId="56"/>
    <xf numFmtId="171" fontId="17" fillId="44" borderId="56"/>
    <xf numFmtId="0" fontId="53" fillId="0" borderId="55"/>
    <xf numFmtId="0" fontId="55" fillId="0" borderId="55"/>
  </cellStyleXfs>
  <cellXfs count="519">
    <xf numFmtId="0" fontId="0" fillId="0" borderId="0" xfId="0"/>
    <xf numFmtId="1" fontId="0" fillId="0" borderId="0" xfId="0" applyNumberFormat="1"/>
    <xf numFmtId="0" fontId="0" fillId="0" borderId="0" xfId="0" applyAlignment="1">
      <alignment horizontal="center"/>
    </xf>
    <xf numFmtId="1" fontId="0" fillId="0" borderId="0" xfId="0" applyNumberFormat="1" applyAlignment="1">
      <alignment horizontal="center"/>
    </xf>
    <xf numFmtId="0" fontId="0" fillId="0" borderId="0" xfId="0" applyAlignment="1">
      <alignment wrapText="1"/>
    </xf>
    <xf numFmtId="0" fontId="0" fillId="0" borderId="0" xfId="0" applyAlignment="1">
      <alignment horizontal="center" wrapText="1"/>
    </xf>
    <xf numFmtId="0" fontId="1" fillId="2" borderId="1" xfId="0" applyFont="1" applyFill="1" applyBorder="1" applyAlignment="1">
      <alignment horizontal="right" vertical="center"/>
    </xf>
    <xf numFmtId="0" fontId="1" fillId="2" borderId="2" xfId="0" applyFont="1" applyFill="1" applyBorder="1" applyAlignment="1">
      <alignment horizontal="right" vertical="center"/>
    </xf>
    <xf numFmtId="0" fontId="1" fillId="2" borderId="2" xfId="0" applyFont="1" applyFill="1" applyBorder="1" applyAlignment="1">
      <alignment vertical="center"/>
    </xf>
    <xf numFmtId="0" fontId="1" fillId="2" borderId="3" xfId="0" applyFont="1" applyFill="1" applyBorder="1" applyAlignment="1">
      <alignment horizontal="right" vertical="center"/>
    </xf>
    <xf numFmtId="0" fontId="1" fillId="2" borderId="4" xfId="0" applyFont="1" applyFill="1" applyBorder="1" applyAlignment="1">
      <alignment horizontal="right" vertical="center"/>
    </xf>
    <xf numFmtId="0" fontId="1" fillId="2" borderId="4" xfId="0" applyFont="1" applyFill="1" applyBorder="1" applyAlignment="1">
      <alignmen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4" xfId="0" applyFont="1" applyBorder="1" applyAlignment="1">
      <alignment vertical="center"/>
    </xf>
    <xf numFmtId="6" fontId="0" fillId="0" borderId="0" xfId="0" applyNumberFormat="1"/>
    <xf numFmtId="6" fontId="2" fillId="0" borderId="4" xfId="0" applyNumberFormat="1" applyFont="1" applyBorder="1" applyAlignment="1">
      <alignment horizontal="right" vertical="center"/>
    </xf>
    <xf numFmtId="0" fontId="2" fillId="2" borderId="3" xfId="0" applyFont="1" applyFill="1" applyBorder="1" applyAlignment="1">
      <alignment horizontal="right" vertical="center"/>
    </xf>
    <xf numFmtId="0" fontId="2" fillId="2" borderId="4" xfId="0" applyFont="1" applyFill="1" applyBorder="1" applyAlignment="1">
      <alignment horizontal="right" vertical="center"/>
    </xf>
    <xf numFmtId="0" fontId="2" fillId="2" borderId="4" xfId="0" applyFont="1" applyFill="1" applyBorder="1" applyAlignment="1">
      <alignment vertical="center"/>
    </xf>
    <xf numFmtId="6" fontId="2" fillId="2" borderId="4" xfId="0" applyNumberFormat="1" applyFont="1" applyFill="1" applyBorder="1" applyAlignment="1">
      <alignment horizontal="right" vertical="center"/>
    </xf>
    <xf numFmtId="6" fontId="2" fillId="0" borderId="3" xfId="0" applyNumberFormat="1" applyFont="1" applyBorder="1" applyAlignment="1">
      <alignment horizontal="right" vertical="center"/>
    </xf>
    <xf numFmtId="0" fontId="1" fillId="2" borderId="5" xfId="0" applyFont="1" applyFill="1" applyBorder="1" applyAlignment="1">
      <alignment horizontal="right" vertical="center"/>
    </xf>
    <xf numFmtId="6" fontId="2" fillId="0" borderId="5" xfId="0" applyNumberFormat="1" applyFont="1" applyFill="1" applyBorder="1" applyAlignment="1">
      <alignment horizontal="right" vertical="center"/>
    </xf>
    <xf numFmtId="0" fontId="2" fillId="2" borderId="2" xfId="0" applyFont="1" applyFill="1" applyBorder="1" applyAlignment="1">
      <alignment horizontal="right" vertical="center"/>
    </xf>
    <xf numFmtId="0" fontId="2" fillId="2" borderId="5" xfId="0" applyFont="1" applyFill="1" applyBorder="1" applyAlignment="1">
      <alignment horizontal="right" vertical="center"/>
    </xf>
    <xf numFmtId="0" fontId="0" fillId="0" borderId="0" xfId="0" applyFill="1"/>
    <xf numFmtId="0" fontId="2" fillId="0" borderId="5" xfId="0" applyFont="1" applyFill="1" applyBorder="1" applyAlignment="1">
      <alignment horizontal="right" vertical="center"/>
    </xf>
    <xf numFmtId="0" fontId="0" fillId="0" borderId="0" xfId="0"/>
    <xf numFmtId="0" fontId="0" fillId="0" borderId="0" xfId="0" applyAlignment="1">
      <alignment horizontal="left"/>
    </xf>
    <xf numFmtId="0" fontId="3" fillId="4" borderId="6" xfId="0" applyFont="1" applyFill="1" applyBorder="1" applyAlignment="1">
      <alignment horizontal="left" vertical="top" wrapText="1"/>
    </xf>
    <xf numFmtId="0" fontId="3" fillId="5" borderId="6" xfId="0" applyFont="1" applyFill="1" applyBorder="1" applyAlignment="1">
      <alignment horizontal="left" vertical="top" wrapText="1"/>
    </xf>
    <xf numFmtId="0" fontId="0" fillId="7" borderId="0" xfId="0" applyFill="1"/>
    <xf numFmtId="0" fontId="0" fillId="0" borderId="4" xfId="0" applyBorder="1"/>
    <xf numFmtId="6" fontId="2" fillId="0" borderId="0" xfId="0" applyNumberFormat="1" applyFont="1" applyBorder="1" applyAlignment="1">
      <alignment horizontal="right" vertical="center"/>
    </xf>
    <xf numFmtId="44" fontId="0" fillId="0" borderId="0" xfId="0" applyNumberFormat="1"/>
    <xf numFmtId="0" fontId="10" fillId="0" borderId="0" xfId="0" applyFont="1"/>
    <xf numFmtId="44" fontId="0" fillId="7" borderId="0" xfId="0" applyNumberFormat="1" applyFill="1"/>
    <xf numFmtId="0" fontId="0" fillId="0" borderId="0" xfId="0" applyAlignment="1">
      <alignment horizontal="center"/>
    </xf>
    <xf numFmtId="0" fontId="0" fillId="3" borderId="0" xfId="0" applyFill="1"/>
    <xf numFmtId="1" fontId="0" fillId="3" borderId="0" xfId="0" applyNumberFormat="1" applyFill="1"/>
    <xf numFmtId="44" fontId="0" fillId="0" borderId="0" xfId="0" applyNumberFormat="1" applyAlignment="1">
      <alignment horizontal="center"/>
    </xf>
    <xf numFmtId="44" fontId="0" fillId="0" borderId="0" xfId="0" applyNumberFormat="1" applyFill="1"/>
    <xf numFmtId="0" fontId="12" fillId="0" borderId="0" xfId="0" applyFont="1"/>
    <xf numFmtId="0" fontId="20" fillId="0" borderId="6" xfId="0" applyFont="1" applyBorder="1" applyAlignment="1" applyProtection="1">
      <alignment horizontal="center"/>
      <protection locked="0"/>
    </xf>
    <xf numFmtId="0" fontId="20" fillId="0" borderId="0" xfId="0" applyFont="1" applyBorder="1" applyAlignment="1" applyProtection="1">
      <alignment horizontal="center"/>
    </xf>
    <xf numFmtId="0" fontId="0" fillId="0" borderId="0" xfId="0" applyProtection="1"/>
    <xf numFmtId="0" fontId="26" fillId="0" borderId="0" xfId="0" applyFont="1" applyAlignment="1" applyProtection="1">
      <alignment horizontal="center" vertical="center"/>
    </xf>
    <xf numFmtId="0" fontId="27" fillId="0" borderId="0" xfId="0" applyFont="1" applyAlignment="1" applyProtection="1">
      <alignment horizontal="center"/>
    </xf>
    <xf numFmtId="0" fontId="20" fillId="6" borderId="0" xfId="0" applyFont="1" applyFill="1" applyProtection="1"/>
    <xf numFmtId="0" fontId="20" fillId="0" borderId="0" xfId="0" applyFont="1" applyProtection="1"/>
    <xf numFmtId="0" fontId="21" fillId="0" borderId="0" xfId="0" applyFont="1" applyAlignment="1" applyProtection="1">
      <alignment vertical="center"/>
    </xf>
    <xf numFmtId="0" fontId="25" fillId="6" borderId="0" xfId="0" applyFont="1" applyFill="1" applyAlignment="1" applyProtection="1"/>
    <xf numFmtId="0" fontId="21" fillId="0" borderId="0" xfId="0" applyFont="1" applyProtection="1"/>
    <xf numFmtId="0" fontId="20" fillId="0" borderId="0" xfId="0" applyFont="1" applyAlignment="1" applyProtection="1">
      <alignment wrapText="1"/>
    </xf>
    <xf numFmtId="0" fontId="0" fillId="0" borderId="0" xfId="0" applyAlignment="1" applyProtection="1"/>
    <xf numFmtId="0" fontId="20" fillId="0" borderId="0" xfId="0" applyFont="1" applyAlignment="1" applyProtection="1"/>
    <xf numFmtId="0" fontId="23" fillId="0" borderId="0" xfId="0" applyFont="1" applyAlignment="1" applyProtection="1">
      <alignment vertical="center" wrapText="1"/>
    </xf>
    <xf numFmtId="0" fontId="22" fillId="0" borderId="0" xfId="0" applyFont="1" applyAlignment="1" applyProtection="1">
      <alignment horizontal="left"/>
    </xf>
    <xf numFmtId="0" fontId="20" fillId="0" borderId="0" xfId="0" applyFont="1" applyAlignment="1" applyProtection="1">
      <alignment horizontal="left"/>
    </xf>
    <xf numFmtId="0" fontId="20" fillId="0" borderId="0" xfId="0" applyFont="1" applyAlignment="1">
      <alignment vertical="center"/>
    </xf>
    <xf numFmtId="44" fontId="4" fillId="6" borderId="0" xfId="0" applyNumberFormat="1" applyFont="1" applyFill="1" applyAlignment="1" applyProtection="1"/>
    <xf numFmtId="0" fontId="0" fillId="0" borderId="0" xfId="0"/>
    <xf numFmtId="0" fontId="38" fillId="0" borderId="6" xfId="0" applyFont="1" applyBorder="1"/>
    <xf numFmtId="0" fontId="39" fillId="0" borderId="6" xfId="0" applyFont="1" applyBorder="1"/>
    <xf numFmtId="0" fontId="39" fillId="22" borderId="6" xfId="0" applyFont="1" applyFill="1" applyBorder="1"/>
    <xf numFmtId="167" fontId="38" fillId="0" borderId="6" xfId="0" applyNumberFormat="1" applyFont="1" applyBorder="1"/>
    <xf numFmtId="167" fontId="39" fillId="0" borderId="6" xfId="0" applyNumberFormat="1" applyFont="1" applyBorder="1"/>
    <xf numFmtId="167" fontId="39" fillId="22" borderId="6" xfId="0" applyNumberFormat="1" applyFont="1" applyFill="1" applyBorder="1"/>
    <xf numFmtId="167" fontId="39" fillId="0" borderId="6" xfId="0" applyNumberFormat="1" applyFont="1" applyFill="1" applyBorder="1"/>
    <xf numFmtId="0" fontId="40" fillId="0" borderId="0" xfId="0" applyFont="1"/>
    <xf numFmtId="0" fontId="41" fillId="0" borderId="0" xfId="0" applyFont="1"/>
    <xf numFmtId="49" fontId="18" fillId="0" borderId="0" xfId="0" applyNumberFormat="1" applyFont="1" applyFill="1"/>
    <xf numFmtId="49" fontId="42" fillId="0" borderId="0" xfId="0" applyNumberFormat="1" applyFont="1" applyFill="1"/>
    <xf numFmtId="1" fontId="43" fillId="23" borderId="0" xfId="0" applyNumberFormat="1" applyFont="1" applyFill="1"/>
    <xf numFmtId="44" fontId="18" fillId="24" borderId="0" xfId="1" applyFont="1" applyFill="1" applyAlignment="1">
      <alignment wrapText="1"/>
    </xf>
    <xf numFmtId="0" fontId="18" fillId="0" borderId="0" xfId="0" applyNumberFormat="1" applyFont="1" applyFill="1"/>
    <xf numFmtId="2" fontId="18" fillId="0" borderId="0" xfId="0" applyNumberFormat="1" applyFont="1" applyFill="1"/>
    <xf numFmtId="0" fontId="18" fillId="0" borderId="0" xfId="0" applyFont="1" applyFill="1"/>
    <xf numFmtId="0" fontId="43" fillId="25" borderId="0" xfId="0" applyFont="1" applyFill="1"/>
    <xf numFmtId="44" fontId="18" fillId="0" borderId="0" xfId="1" applyFont="1" applyFill="1"/>
    <xf numFmtId="44" fontId="18" fillId="24" borderId="0" xfId="1" applyFont="1" applyFill="1"/>
    <xf numFmtId="0" fontId="43" fillId="0" borderId="0" xfId="0" applyFont="1" applyFill="1"/>
    <xf numFmtId="168" fontId="18" fillId="0" borderId="0" xfId="0" applyNumberFormat="1" applyFont="1" applyFill="1"/>
    <xf numFmtId="0" fontId="18" fillId="0" borderId="0" xfId="0" applyFont="1" applyFill="1" applyBorder="1" applyAlignment="1">
      <alignment horizontal="left" vertical="top" wrapText="1"/>
    </xf>
    <xf numFmtId="44" fontId="18" fillId="24" borderId="0" xfId="1" applyFont="1" applyFill="1" applyProtection="1">
      <protection locked="0"/>
    </xf>
    <xf numFmtId="44" fontId="18" fillId="25" borderId="0" xfId="1" applyFont="1" applyFill="1"/>
    <xf numFmtId="14" fontId="43" fillId="0" borderId="0" xfId="0" applyNumberFormat="1" applyFont="1" applyFill="1"/>
    <xf numFmtId="49" fontId="18" fillId="26" borderId="0" xfId="0" applyNumberFormat="1" applyFont="1" applyFill="1"/>
    <xf numFmtId="164" fontId="18" fillId="24" borderId="0" xfId="0" applyNumberFormat="1" applyFont="1" applyFill="1"/>
    <xf numFmtId="0" fontId="18" fillId="0" borderId="0" xfId="0" applyFont="1" applyFill="1" applyBorder="1"/>
    <xf numFmtId="0" fontId="18" fillId="0" borderId="0" xfId="0" applyNumberFormat="1" applyFont="1" applyFill="1" applyBorder="1" applyAlignment="1">
      <alignment horizontal="left" vertical="top" wrapText="1"/>
    </xf>
    <xf numFmtId="49" fontId="43" fillId="23" borderId="0" xfId="0" applyNumberFormat="1" applyFont="1" applyFill="1"/>
    <xf numFmtId="0" fontId="43" fillId="25" borderId="0" xfId="0" applyFont="1" applyFill="1" applyBorder="1"/>
    <xf numFmtId="0" fontId="18" fillId="23" borderId="0" xfId="0" applyFont="1" applyFill="1"/>
    <xf numFmtId="49" fontId="18" fillId="23" borderId="0" xfId="0" applyNumberFormat="1" applyFont="1" applyFill="1"/>
    <xf numFmtId="0" fontId="18" fillId="23" borderId="0" xfId="0" applyNumberFormat="1" applyFont="1" applyFill="1"/>
    <xf numFmtId="44" fontId="18" fillId="11" borderId="0" xfId="1" applyFont="1" applyFill="1"/>
    <xf numFmtId="1" fontId="43" fillId="27" borderId="0" xfId="0" applyNumberFormat="1" applyFont="1" applyFill="1"/>
    <xf numFmtId="0" fontId="43" fillId="28" borderId="0" xfId="0" applyFont="1" applyFill="1"/>
    <xf numFmtId="0" fontId="0" fillId="0" borderId="0" xfId="0" applyFont="1"/>
    <xf numFmtId="44" fontId="44" fillId="0" borderId="0" xfId="1" applyFont="1" applyFill="1"/>
    <xf numFmtId="0" fontId="0" fillId="0" borderId="0" xfId="0" applyFont="1" applyFill="1"/>
    <xf numFmtId="2" fontId="0" fillId="0" borderId="0" xfId="0" applyNumberFormat="1"/>
    <xf numFmtId="0" fontId="11" fillId="0" borderId="0" xfId="0" applyFont="1"/>
    <xf numFmtId="0" fontId="0" fillId="0" borderId="6" xfId="0" applyBorder="1" applyProtection="1">
      <protection locked="0"/>
    </xf>
    <xf numFmtId="0" fontId="4" fillId="0" borderId="0" xfId="0" applyFont="1"/>
    <xf numFmtId="0" fontId="11" fillId="0" borderId="6" xfId="0" applyFont="1" applyFill="1" applyBorder="1"/>
    <xf numFmtId="0" fontId="11" fillId="0" borderId="6" xfId="0" applyFont="1" applyFill="1" applyBorder="1" applyAlignment="1">
      <alignment horizontal="center"/>
    </xf>
    <xf numFmtId="0" fontId="0" fillId="0" borderId="6" xfId="0" applyFont="1" applyFill="1" applyBorder="1"/>
    <xf numFmtId="2" fontId="47" fillId="0" borderId="6" xfId="0" applyNumberFormat="1" applyFont="1" applyFill="1" applyBorder="1" applyAlignment="1" applyProtection="1">
      <alignment horizontal="center"/>
      <protection hidden="1"/>
    </xf>
    <xf numFmtId="2" fontId="0" fillId="0" borderId="6" xfId="0" applyNumberFormat="1" applyFont="1" applyFill="1" applyBorder="1" applyAlignment="1">
      <alignment horizontal="center"/>
    </xf>
    <xf numFmtId="0" fontId="0" fillId="0" borderId="0" xfId="0" applyFont="1" applyAlignment="1">
      <alignment horizontal="left"/>
    </xf>
    <xf numFmtId="0" fontId="0" fillId="0" borderId="0" xfId="0"/>
    <xf numFmtId="0" fontId="0" fillId="0" borderId="0" xfId="0" applyFont="1" applyAlignment="1">
      <alignment horizontal="left"/>
    </xf>
    <xf numFmtId="0" fontId="11" fillId="0" borderId="30" xfId="0" applyFont="1" applyBorder="1"/>
    <xf numFmtId="0" fontId="0" fillId="0" borderId="23" xfId="0" applyFont="1" applyFill="1" applyBorder="1"/>
    <xf numFmtId="0" fontId="0" fillId="0" borderId="24" xfId="0" applyFont="1" applyFill="1" applyBorder="1"/>
    <xf numFmtId="0" fontId="0" fillId="0" borderId="25" xfId="0" applyFont="1" applyFill="1" applyBorder="1"/>
    <xf numFmtId="0" fontId="0" fillId="0" borderId="35" xfId="0" applyFont="1" applyFill="1" applyBorder="1"/>
    <xf numFmtId="0" fontId="0" fillId="0" borderId="0" xfId="0"/>
    <xf numFmtId="0" fontId="60" fillId="0" borderId="0" xfId="0" applyFont="1"/>
    <xf numFmtId="173" fontId="0" fillId="0" borderId="0" xfId="0" applyNumberFormat="1" applyAlignment="1">
      <alignment horizontal="center"/>
    </xf>
    <xf numFmtId="49" fontId="0" fillId="0" borderId="0" xfId="0" applyNumberFormat="1" applyAlignment="1">
      <alignment horizontal="center"/>
    </xf>
    <xf numFmtId="0" fontId="61" fillId="0" borderId="0" xfId="0" applyFont="1"/>
    <xf numFmtId="173" fontId="60" fillId="0" borderId="0" xfId="0" applyNumberFormat="1" applyFont="1" applyAlignment="1">
      <alignment horizontal="center"/>
    </xf>
    <xf numFmtId="0" fontId="60" fillId="0" borderId="0" xfId="0" applyFont="1" applyAlignment="1">
      <alignment horizontal="center"/>
    </xf>
    <xf numFmtId="0" fontId="60" fillId="3" borderId="0" xfId="0" applyFont="1" applyFill="1"/>
    <xf numFmtId="173" fontId="0" fillId="11" borderId="0" xfId="0" applyNumberFormat="1" applyFill="1" applyAlignment="1">
      <alignment horizontal="center"/>
    </xf>
    <xf numFmtId="49" fontId="0" fillId="11" borderId="0" xfId="0" applyNumberFormat="1" applyFill="1" applyAlignment="1">
      <alignment horizontal="center"/>
    </xf>
    <xf numFmtId="173" fontId="60" fillId="11" borderId="0" xfId="0" applyNumberFormat="1" applyFont="1" applyFill="1" applyAlignment="1">
      <alignment horizontal="center"/>
    </xf>
    <xf numFmtId="0" fontId="0" fillId="11" borderId="0" xfId="0" applyFill="1"/>
    <xf numFmtId="0" fontId="29" fillId="0" borderId="0" xfId="0" applyFont="1" applyAlignment="1">
      <alignment horizontal="center"/>
    </xf>
    <xf numFmtId="44" fontId="63" fillId="6" borderId="0" xfId="0" applyNumberFormat="1" applyFont="1" applyFill="1" applyProtection="1"/>
    <xf numFmtId="44" fontId="62" fillId="0" borderId="0" xfId="0" applyNumberFormat="1" applyFont="1" applyFill="1" applyAlignment="1" applyProtection="1"/>
    <xf numFmtId="0" fontId="7" fillId="0" borderId="0" xfId="0" applyFont="1"/>
    <xf numFmtId="0" fontId="7" fillId="0" borderId="0" xfId="0" applyFont="1" applyFill="1" applyBorder="1" applyAlignment="1"/>
    <xf numFmtId="165" fontId="7" fillId="12" borderId="29" xfId="0" applyNumberFormat="1" applyFont="1" applyFill="1" applyBorder="1"/>
    <xf numFmtId="0" fontId="7" fillId="9" borderId="23" xfId="0" applyFont="1" applyFill="1" applyBorder="1"/>
    <xf numFmtId="0" fontId="7" fillId="9" borderId="26" xfId="0" applyFont="1" applyFill="1" applyBorder="1"/>
    <xf numFmtId="165" fontId="7" fillId="12" borderId="24" xfId="0" applyNumberFormat="1" applyFont="1" applyFill="1" applyBorder="1"/>
    <xf numFmtId="0" fontId="7" fillId="21" borderId="0" xfId="0" applyFont="1" applyFill="1"/>
    <xf numFmtId="0" fontId="7" fillId="3" borderId="0" xfId="0" applyFont="1" applyFill="1"/>
    <xf numFmtId="0" fontId="7" fillId="9" borderId="0" xfId="0" applyFont="1" applyFill="1"/>
    <xf numFmtId="0" fontId="64" fillId="15" borderId="0" xfId="0" applyFont="1" applyFill="1" applyBorder="1" applyAlignment="1">
      <alignment horizontal="left" vertical="top" wrapText="1"/>
    </xf>
    <xf numFmtId="0" fontId="7" fillId="20" borderId="0" xfId="0" applyFont="1" applyFill="1"/>
    <xf numFmtId="0" fontId="65" fillId="10" borderId="6" xfId="0" applyFont="1" applyFill="1" applyBorder="1" applyAlignment="1">
      <alignment horizontal="left" vertical="top" wrapText="1"/>
    </xf>
    <xf numFmtId="0" fontId="7" fillId="9" borderId="36" xfId="0" applyFont="1" applyFill="1" applyBorder="1"/>
    <xf numFmtId="0" fontId="7" fillId="10" borderId="24" xfId="0" applyFont="1" applyFill="1" applyBorder="1"/>
    <xf numFmtId="0" fontId="7" fillId="10" borderId="0" xfId="0" applyFont="1" applyFill="1" applyBorder="1"/>
    <xf numFmtId="0" fontId="7" fillId="9" borderId="24" xfId="0" applyFont="1" applyFill="1" applyBorder="1"/>
    <xf numFmtId="0" fontId="7" fillId="9" borderId="27" xfId="0" applyFont="1" applyFill="1" applyBorder="1"/>
    <xf numFmtId="165" fontId="7" fillId="12" borderId="27" xfId="0" applyNumberFormat="1" applyFont="1" applyFill="1" applyBorder="1"/>
    <xf numFmtId="0" fontId="65" fillId="10" borderId="0" xfId="0" applyFont="1" applyFill="1" applyAlignment="1">
      <alignment horizontal="left" vertical="top" wrapText="1"/>
    </xf>
    <xf numFmtId="165" fontId="7" fillId="12" borderId="25" xfId="0" applyNumberFormat="1" applyFont="1" applyFill="1" applyBorder="1"/>
    <xf numFmtId="44" fontId="63" fillId="6" borderId="0" xfId="0" applyNumberFormat="1" applyFont="1" applyFill="1" applyAlignment="1" applyProtection="1"/>
    <xf numFmtId="44" fontId="7" fillId="0" borderId="0" xfId="0" applyNumberFormat="1" applyFont="1"/>
    <xf numFmtId="0" fontId="7" fillId="9" borderId="33" xfId="0" applyFont="1" applyFill="1" applyBorder="1"/>
    <xf numFmtId="0" fontId="7" fillId="9" borderId="35" xfId="0" applyFont="1" applyFill="1" applyBorder="1"/>
    <xf numFmtId="0" fontId="7" fillId="10" borderId="36" xfId="0" applyFont="1" applyFill="1" applyBorder="1"/>
    <xf numFmtId="0" fontId="7" fillId="9" borderId="34" xfId="0" applyFont="1" applyFill="1" applyBorder="1"/>
    <xf numFmtId="0" fontId="7" fillId="10" borderId="6" xfId="0" applyFont="1" applyFill="1" applyBorder="1"/>
    <xf numFmtId="0" fontId="7" fillId="10" borderId="37" xfId="0" applyFont="1" applyFill="1" applyBorder="1"/>
    <xf numFmtId="0" fontId="7" fillId="9" borderId="25" xfId="0" applyFont="1" applyFill="1" applyBorder="1"/>
    <xf numFmtId="0" fontId="7" fillId="9" borderId="28" xfId="0" applyFont="1" applyFill="1" applyBorder="1"/>
    <xf numFmtId="0" fontId="7" fillId="0" borderId="0" xfId="0" applyFont="1" applyAlignment="1"/>
    <xf numFmtId="43" fontId="7" fillId="0" borderId="0" xfId="0" applyNumberFormat="1" applyFont="1"/>
    <xf numFmtId="0" fontId="7" fillId="8" borderId="0" xfId="0" applyFont="1" applyFill="1"/>
    <xf numFmtId="0" fontId="7" fillId="7" borderId="0" xfId="0" applyFont="1" applyFill="1"/>
    <xf numFmtId="0" fontId="7" fillId="14" borderId="5" xfId="0" applyFont="1" applyFill="1" applyBorder="1"/>
    <xf numFmtId="0" fontId="7" fillId="14" borderId="0" xfId="0" applyFont="1" applyFill="1"/>
    <xf numFmtId="0" fontId="14" fillId="15" borderId="0" xfId="0" applyFont="1" applyFill="1" applyAlignment="1"/>
    <xf numFmtId="0" fontId="14" fillId="15" borderId="0" xfId="0" applyFont="1" applyFill="1" applyAlignment="1">
      <alignment wrapText="1"/>
    </xf>
    <xf numFmtId="0" fontId="7" fillId="16" borderId="0" xfId="0" applyFont="1" applyFill="1"/>
    <xf numFmtId="0" fontId="7" fillId="10" borderId="0" xfId="0" applyFont="1" applyFill="1"/>
    <xf numFmtId="44" fontId="7" fillId="10" borderId="0" xfId="0" applyNumberFormat="1" applyFont="1" applyFill="1"/>
    <xf numFmtId="0" fontId="7" fillId="18" borderId="0" xfId="0" applyFont="1" applyFill="1"/>
    <xf numFmtId="0" fontId="7" fillId="15" borderId="0" xfId="0" applyFont="1" applyFill="1"/>
    <xf numFmtId="0" fontId="7" fillId="17" borderId="0" xfId="0" applyFont="1" applyFill="1"/>
    <xf numFmtId="0" fontId="7" fillId="19" borderId="0" xfId="0" applyFont="1" applyFill="1"/>
    <xf numFmtId="0" fontId="67" fillId="14" borderId="5" xfId="0" applyFont="1" applyFill="1" applyBorder="1"/>
    <xf numFmtId="0" fontId="68" fillId="13" borderId="3" xfId="0" applyFont="1" applyFill="1" applyBorder="1" applyAlignment="1">
      <alignment horizontal="right" vertical="center"/>
    </xf>
    <xf numFmtId="0" fontId="68" fillId="13" borderId="4" xfId="0" applyFont="1" applyFill="1" applyBorder="1" applyAlignment="1">
      <alignment vertical="center"/>
    </xf>
    <xf numFmtId="0" fontId="7" fillId="7" borderId="17" xfId="0" applyFont="1" applyFill="1" applyBorder="1"/>
    <xf numFmtId="0" fontId="7" fillId="7" borderId="0" xfId="0" applyFont="1" applyFill="1" applyBorder="1"/>
    <xf numFmtId="0" fontId="7" fillId="14" borderId="0" xfId="0" applyFont="1" applyFill="1" applyBorder="1"/>
    <xf numFmtId="0" fontId="66" fillId="13" borderId="32" xfId="0" applyFont="1" applyFill="1" applyBorder="1" applyAlignment="1">
      <alignment horizontal="left" vertical="center"/>
    </xf>
    <xf numFmtId="0" fontId="7" fillId="0" borderId="0" xfId="0" applyFont="1" applyAlignment="1">
      <alignment horizontal="left"/>
    </xf>
    <xf numFmtId="0" fontId="67" fillId="14" borderId="0" xfId="0" applyFont="1" applyFill="1" applyBorder="1"/>
    <xf numFmtId="0" fontId="7" fillId="7" borderId="12" xfId="0" applyFont="1" applyFill="1" applyBorder="1"/>
    <xf numFmtId="0" fontId="66" fillId="13" borderId="3" xfId="0" applyFont="1" applyFill="1" applyBorder="1" applyAlignment="1">
      <alignment horizontal="right" vertical="center"/>
    </xf>
    <xf numFmtId="0" fontId="66" fillId="13" borderId="4" xfId="0" applyFont="1" applyFill="1" applyBorder="1" applyAlignment="1">
      <alignment horizontal="right" vertical="center"/>
    </xf>
    <xf numFmtId="0" fontId="66" fillId="13" borderId="4" xfId="0" applyFont="1" applyFill="1" applyBorder="1" applyAlignment="1">
      <alignment vertical="center"/>
    </xf>
    <xf numFmtId="0" fontId="7" fillId="13" borderId="0" xfId="0" applyFont="1" applyFill="1"/>
    <xf numFmtId="0" fontId="66" fillId="10" borderId="3" xfId="0" applyFont="1" applyFill="1" applyBorder="1" applyAlignment="1">
      <alignment horizontal="right" vertical="center"/>
    </xf>
    <xf numFmtId="44" fontId="7" fillId="15" borderId="0" xfId="0" applyNumberFormat="1" applyFont="1" applyFill="1"/>
    <xf numFmtId="44" fontId="7" fillId="19" borderId="0" xfId="0" applyNumberFormat="1" applyFont="1" applyFill="1"/>
    <xf numFmtId="0" fontId="66" fillId="2" borderId="1" xfId="0" applyFont="1" applyFill="1" applyBorder="1" applyAlignment="1">
      <alignment horizontal="right" vertical="center"/>
    </xf>
    <xf numFmtId="0" fontId="66" fillId="2" borderId="2" xfId="0" applyFont="1" applyFill="1" applyBorder="1" applyAlignment="1">
      <alignment horizontal="right" vertical="center"/>
    </xf>
    <xf numFmtId="0" fontId="66" fillId="2" borderId="5" xfId="0" applyFont="1" applyFill="1" applyBorder="1" applyAlignment="1">
      <alignment horizontal="right" vertical="center"/>
    </xf>
    <xf numFmtId="2" fontId="7" fillId="0" borderId="0" xfId="0" applyNumberFormat="1" applyFont="1"/>
    <xf numFmtId="0" fontId="7" fillId="13" borderId="17" xfId="0" applyFont="1" applyFill="1" applyBorder="1"/>
    <xf numFmtId="0" fontId="7" fillId="13" borderId="19" xfId="0" applyFont="1" applyFill="1" applyBorder="1"/>
    <xf numFmtId="0" fontId="7" fillId="11" borderId="20" xfId="0" applyFont="1" applyFill="1" applyBorder="1" applyAlignment="1"/>
    <xf numFmtId="0" fontId="7" fillId="11" borderId="18" xfId="0" applyFont="1" applyFill="1" applyBorder="1" applyAlignment="1"/>
    <xf numFmtId="0" fontId="7" fillId="11" borderId="19" xfId="0" applyFont="1" applyFill="1" applyBorder="1" applyAlignment="1"/>
    <xf numFmtId="44" fontId="64" fillId="0" borderId="0" xfId="1" applyFont="1" applyFill="1"/>
    <xf numFmtId="44" fontId="64" fillId="15" borderId="0" xfId="1" applyFont="1" applyFill="1"/>
    <xf numFmtId="44" fontId="7" fillId="16" borderId="0" xfId="0" applyNumberFormat="1" applyFont="1" applyFill="1"/>
    <xf numFmtId="0" fontId="68" fillId="13" borderId="4" xfId="0" applyFont="1" applyFill="1" applyBorder="1" applyAlignment="1">
      <alignment horizontal="right" vertical="center"/>
    </xf>
    <xf numFmtId="6" fontId="7" fillId="0" borderId="1" xfId="0" applyNumberFormat="1" applyFont="1" applyBorder="1"/>
    <xf numFmtId="6" fontId="7" fillId="13" borderId="0" xfId="0" applyNumberFormat="1" applyFont="1" applyFill="1"/>
    <xf numFmtId="0" fontId="7" fillId="0" borderId="0" xfId="0" applyFont="1" applyAlignment="1">
      <alignment horizontal="center"/>
    </xf>
    <xf numFmtId="44" fontId="7" fillId="17" borderId="0" xfId="0" applyNumberFormat="1" applyFont="1" applyFill="1" applyAlignment="1"/>
    <xf numFmtId="0" fontId="67" fillId="14" borderId="0" xfId="0" applyFont="1" applyFill="1"/>
    <xf numFmtId="49" fontId="68" fillId="13" borderId="4" xfId="0" applyNumberFormat="1" applyFont="1" applyFill="1" applyBorder="1" applyAlignment="1">
      <alignment horizontal="right" vertical="center"/>
    </xf>
    <xf numFmtId="0" fontId="66" fillId="2" borderId="3" xfId="0" applyFont="1" applyFill="1" applyBorder="1" applyAlignment="1">
      <alignment horizontal="right" vertical="center"/>
    </xf>
    <xf numFmtId="0" fontId="66" fillId="2" borderId="4" xfId="0" applyFont="1" applyFill="1" applyBorder="1" applyAlignment="1">
      <alignment horizontal="right" vertical="center"/>
    </xf>
    <xf numFmtId="0" fontId="7" fillId="5" borderId="0" xfId="0" applyFont="1" applyFill="1"/>
    <xf numFmtId="0" fontId="7" fillId="7" borderId="40" xfId="0" applyFont="1" applyFill="1" applyBorder="1"/>
    <xf numFmtId="0" fontId="7" fillId="13" borderId="12" xfId="0" applyFont="1" applyFill="1" applyBorder="1"/>
    <xf numFmtId="0" fontId="7" fillId="13" borderId="13" xfId="0" applyFont="1" applyFill="1" applyBorder="1"/>
    <xf numFmtId="0" fontId="7" fillId="11" borderId="21" xfId="0" applyFont="1" applyFill="1" applyBorder="1" applyAlignment="1"/>
    <xf numFmtId="0" fontId="7" fillId="11" borderId="6" xfId="0" applyFont="1" applyFill="1" applyBorder="1" applyAlignment="1"/>
    <xf numFmtId="0" fontId="68" fillId="11" borderId="6" xfId="0" applyFont="1" applyFill="1" applyBorder="1" applyAlignment="1"/>
    <xf numFmtId="0" fontId="68" fillId="11" borderId="13" xfId="0" applyFont="1" applyFill="1" applyBorder="1" applyAlignment="1"/>
    <xf numFmtId="0" fontId="7" fillId="18" borderId="0" xfId="0" applyFont="1" applyFill="1" applyBorder="1" applyAlignment="1"/>
    <xf numFmtId="44" fontId="7" fillId="17" borderId="0" xfId="0" applyNumberFormat="1" applyFont="1" applyFill="1"/>
    <xf numFmtId="0" fontId="62" fillId="14" borderId="0" xfId="0" applyFont="1" applyFill="1" applyBorder="1"/>
    <xf numFmtId="0" fontId="62" fillId="14" borderId="0" xfId="0" applyFont="1" applyFill="1"/>
    <xf numFmtId="0" fontId="68" fillId="0" borderId="3" xfId="0" applyFont="1" applyBorder="1" applyAlignment="1">
      <alignment horizontal="right" vertical="center"/>
    </xf>
    <xf numFmtId="0" fontId="68" fillId="0" borderId="4" xfId="0" applyFont="1" applyBorder="1" applyAlignment="1">
      <alignment horizontal="right" vertical="center"/>
    </xf>
    <xf numFmtId="6" fontId="68" fillId="0" borderId="4" xfId="0" applyNumberFormat="1" applyFont="1" applyBorder="1" applyAlignment="1">
      <alignment horizontal="right" vertical="center"/>
    </xf>
    <xf numFmtId="6" fontId="7" fillId="0" borderId="0" xfId="0" applyNumberFormat="1" applyFont="1"/>
    <xf numFmtId="0" fontId="7" fillId="7" borderId="14" xfId="0" applyFont="1" applyFill="1" applyBorder="1"/>
    <xf numFmtId="0" fontId="68" fillId="2" borderId="3" xfId="0" applyFont="1" applyFill="1" applyBorder="1" applyAlignment="1">
      <alignment horizontal="right" vertical="center"/>
    </xf>
    <xf numFmtId="0" fontId="68" fillId="2" borderId="4" xfId="0" applyFont="1" applyFill="1" applyBorder="1" applyAlignment="1">
      <alignment horizontal="right" vertical="center"/>
    </xf>
    <xf numFmtId="6" fontId="68" fillId="2" borderId="4" xfId="0" applyNumberFormat="1" applyFont="1" applyFill="1" applyBorder="1" applyAlignment="1">
      <alignment horizontal="right" vertical="center"/>
    </xf>
    <xf numFmtId="0" fontId="7" fillId="11" borderId="12" xfId="0" applyFont="1" applyFill="1" applyBorder="1" applyAlignment="1"/>
    <xf numFmtId="0" fontId="7" fillId="14" borderId="0" xfId="0" applyFont="1" applyFill="1" applyAlignment="1">
      <alignment horizontal="left"/>
    </xf>
    <xf numFmtId="0" fontId="64" fillId="15" borderId="0" xfId="0" applyFont="1" applyFill="1" applyBorder="1" applyAlignment="1">
      <alignment horizontal="left" vertical="top"/>
    </xf>
    <xf numFmtId="166" fontId="7" fillId="19" borderId="0" xfId="0" applyNumberFormat="1" applyFont="1" applyFill="1"/>
    <xf numFmtId="0" fontId="67" fillId="14" borderId="0" xfId="0" applyFont="1" applyFill="1" applyAlignment="1">
      <alignment horizontal="left"/>
    </xf>
    <xf numFmtId="0" fontId="7" fillId="0" borderId="0" xfId="0" applyFont="1" applyAlignment="1">
      <alignment horizontal="right"/>
    </xf>
    <xf numFmtId="0" fontId="7" fillId="13" borderId="40" xfId="0" applyFont="1" applyFill="1" applyBorder="1"/>
    <xf numFmtId="0" fontId="7" fillId="13" borderId="41" xfId="0" applyFont="1" applyFill="1" applyBorder="1"/>
    <xf numFmtId="0" fontId="7" fillId="14" borderId="0" xfId="0" applyFont="1" applyFill="1" applyBorder="1" applyAlignment="1">
      <alignment horizontal="right"/>
    </xf>
    <xf numFmtId="0" fontId="7" fillId="13" borderId="14" xfId="0" applyFont="1" applyFill="1" applyBorder="1"/>
    <xf numFmtId="0" fontId="7" fillId="13" borderId="16" xfId="0" applyFont="1" applyFill="1" applyBorder="1"/>
    <xf numFmtId="0" fontId="7" fillId="13" borderId="38" xfId="0" applyFont="1" applyFill="1" applyBorder="1"/>
    <xf numFmtId="0" fontId="7" fillId="13" borderId="39" xfId="0" applyFont="1" applyFill="1" applyBorder="1"/>
    <xf numFmtId="44" fontId="7" fillId="0" borderId="0" xfId="1" applyFont="1"/>
    <xf numFmtId="0" fontId="7" fillId="13" borderId="0" xfId="0" applyFont="1" applyFill="1" applyBorder="1"/>
    <xf numFmtId="167" fontId="69" fillId="0" borderId="6" xfId="0" applyNumberFormat="1" applyFont="1" applyBorder="1"/>
    <xf numFmtId="2" fontId="70" fillId="3" borderId="6" xfId="0" applyNumberFormat="1" applyFont="1" applyFill="1" applyBorder="1" applyAlignment="1" applyProtection="1">
      <alignment horizontal="center"/>
      <protection hidden="1"/>
    </xf>
    <xf numFmtId="0" fontId="7" fillId="11" borderId="13" xfId="0" applyFont="1" applyFill="1" applyBorder="1" applyAlignment="1"/>
    <xf numFmtId="0" fontId="7" fillId="13" borderId="5" xfId="0" applyFont="1" applyFill="1" applyBorder="1"/>
    <xf numFmtId="0" fontId="68" fillId="11" borderId="15" xfId="0" applyFont="1" applyFill="1" applyBorder="1" applyAlignment="1"/>
    <xf numFmtId="0" fontId="7" fillId="11" borderId="14" xfId="0" applyFont="1" applyFill="1" applyBorder="1" applyAlignment="1"/>
    <xf numFmtId="0" fontId="7" fillId="11" borderId="15" xfId="0" applyFont="1" applyFill="1" applyBorder="1" applyAlignment="1"/>
    <xf numFmtId="0" fontId="7" fillId="11" borderId="16" xfId="0" applyFont="1" applyFill="1" applyBorder="1" applyAlignment="1"/>
    <xf numFmtId="0" fontId="7" fillId="0" borderId="0" xfId="0" applyFont="1" applyFill="1" applyBorder="1"/>
    <xf numFmtId="44" fontId="7" fillId="0" borderId="0" xfId="0" applyNumberFormat="1" applyFont="1" applyFill="1" applyBorder="1"/>
    <xf numFmtId="44" fontId="67" fillId="14" borderId="0" xfId="0" applyNumberFormat="1" applyFont="1" applyFill="1"/>
    <xf numFmtId="0" fontId="7" fillId="0" borderId="0" xfId="0" applyFont="1" applyFill="1"/>
    <xf numFmtId="49" fontId="64" fillId="13" borderId="0" xfId="0" applyNumberFormat="1" applyFont="1" applyFill="1" applyAlignment="1"/>
    <xf numFmtId="6" fontId="68" fillId="0" borderId="0" xfId="0" applyNumberFormat="1" applyFont="1" applyBorder="1" applyAlignment="1">
      <alignment horizontal="right" vertical="center"/>
    </xf>
    <xf numFmtId="6" fontId="68" fillId="0" borderId="3" xfId="0" applyNumberFormat="1" applyFont="1" applyBorder="1" applyAlignment="1">
      <alignment horizontal="right" vertical="center"/>
    </xf>
    <xf numFmtId="0" fontId="7" fillId="3" borderId="0" xfId="0" applyFont="1" applyFill="1" applyBorder="1" applyAlignment="1"/>
    <xf numFmtId="43" fontId="7" fillId="3" borderId="0" xfId="0" applyNumberFormat="1" applyFont="1" applyFill="1"/>
    <xf numFmtId="0" fontId="62" fillId="13" borderId="0" xfId="0" applyFont="1" applyFill="1" applyAlignment="1"/>
    <xf numFmtId="43" fontId="62" fillId="13" borderId="0" xfId="0" applyNumberFormat="1" applyFont="1" applyFill="1" applyAlignment="1"/>
    <xf numFmtId="0" fontId="68" fillId="10" borderId="3" xfId="0" applyFont="1" applyFill="1" applyBorder="1" applyAlignment="1">
      <alignment horizontal="right" vertical="center"/>
    </xf>
    <xf numFmtId="0" fontId="68" fillId="13" borderId="5" xfId="0" applyFont="1" applyFill="1" applyBorder="1" applyAlignment="1">
      <alignment horizontal="right" vertical="center"/>
    </xf>
    <xf numFmtId="44" fontId="7" fillId="3" borderId="0" xfId="0" applyNumberFormat="1" applyFont="1" applyFill="1"/>
    <xf numFmtId="2" fontId="7" fillId="3" borderId="6" xfId="0" applyNumberFormat="1" applyFont="1" applyFill="1" applyBorder="1" applyAlignment="1">
      <alignment horizontal="center"/>
    </xf>
    <xf numFmtId="164" fontId="64" fillId="15" borderId="0" xfId="0" applyNumberFormat="1" applyFont="1" applyFill="1" applyProtection="1">
      <protection locked="0"/>
    </xf>
    <xf numFmtId="173" fontId="7" fillId="11" borderId="0" xfId="0" applyNumberFormat="1" applyFont="1" applyFill="1" applyAlignment="1">
      <alignment horizontal="center"/>
    </xf>
    <xf numFmtId="43" fontId="64" fillId="15" borderId="0" xfId="1" applyNumberFormat="1" applyFont="1" applyFill="1"/>
    <xf numFmtId="0" fontId="7" fillId="7" borderId="51" xfId="0" applyFont="1" applyFill="1" applyBorder="1"/>
    <xf numFmtId="44" fontId="71" fillId="6" borderId="0" xfId="0" applyNumberFormat="1" applyFont="1" applyFill="1" applyAlignment="1" applyProtection="1"/>
    <xf numFmtId="44" fontId="71" fillId="6" borderId="0" xfId="1" applyFont="1" applyFill="1" applyAlignment="1" applyProtection="1"/>
    <xf numFmtId="0" fontId="0" fillId="0" borderId="0" xfId="0" applyAlignment="1">
      <alignment horizontal="center"/>
    </xf>
    <xf numFmtId="9" fontId="0" fillId="0" borderId="0" xfId="0" applyNumberFormat="1"/>
    <xf numFmtId="0" fontId="0" fillId="8" borderId="0" xfId="0" applyFill="1"/>
    <xf numFmtId="0" fontId="62" fillId="23" borderId="0" xfId="0" applyFont="1" applyFill="1" applyProtection="1">
      <protection locked="0"/>
    </xf>
    <xf numFmtId="1" fontId="62" fillId="23" borderId="0" xfId="0" applyNumberFormat="1" applyFont="1" applyFill="1" applyProtection="1">
      <protection locked="0"/>
    </xf>
    <xf numFmtId="0" fontId="8" fillId="23" borderId="0" xfId="0" applyFont="1" applyFill="1" applyProtection="1"/>
    <xf numFmtId="9" fontId="8" fillId="23" borderId="0" xfId="0" applyNumberFormat="1" applyFont="1" applyFill="1" applyBorder="1" applyAlignment="1">
      <alignment horizontal="center"/>
    </xf>
    <xf numFmtId="44" fontId="62" fillId="23" borderId="0" xfId="0" applyNumberFormat="1" applyFont="1" applyFill="1" applyAlignment="1" applyProtection="1"/>
    <xf numFmtId="0" fontId="75" fillId="8" borderId="0" xfId="0" applyFont="1" applyFill="1"/>
    <xf numFmtId="0" fontId="74" fillId="8" borderId="0" xfId="0" applyFont="1" applyFill="1"/>
    <xf numFmtId="44" fontId="74" fillId="8" borderId="0" xfId="0" applyNumberFormat="1" applyFont="1" applyFill="1"/>
    <xf numFmtId="44" fontId="74" fillId="8" borderId="0" xfId="0" applyNumberFormat="1" applyFont="1" applyFill="1" applyAlignment="1" applyProtection="1"/>
    <xf numFmtId="0" fontId="4" fillId="8" borderId="0" xfId="0" applyFont="1" applyFill="1"/>
    <xf numFmtId="44" fontId="76" fillId="8" borderId="0" xfId="0" applyNumberFormat="1" applyFont="1" applyFill="1"/>
    <xf numFmtId="1" fontId="74" fillId="8" borderId="0" xfId="0" applyNumberFormat="1" applyFont="1" applyFill="1"/>
    <xf numFmtId="0" fontId="74" fillId="8" borderId="0" xfId="0" applyNumberFormat="1" applyFont="1" applyFill="1"/>
    <xf numFmtId="0" fontId="74" fillId="8" borderId="0" xfId="0" applyFont="1" applyFill="1" applyAlignment="1">
      <alignment horizontal="right"/>
    </xf>
    <xf numFmtId="0" fontId="74" fillId="8" borderId="0" xfId="0" applyFont="1" applyFill="1" applyBorder="1" applyAlignment="1" applyProtection="1">
      <alignment horizontal="center"/>
    </xf>
    <xf numFmtId="0" fontId="74" fillId="8" borderId="0" xfId="0" applyFont="1" applyFill="1" applyBorder="1" applyAlignment="1">
      <alignment horizontal="center"/>
    </xf>
    <xf numFmtId="9" fontId="74" fillId="8" borderId="0" xfId="0" applyNumberFormat="1" applyFont="1" applyFill="1" applyBorder="1" applyAlignment="1">
      <alignment horizontal="center"/>
    </xf>
    <xf numFmtId="0" fontId="0" fillId="8" borderId="0" xfId="0" applyFill="1" applyProtection="1"/>
    <xf numFmtId="0" fontId="8" fillId="8" borderId="0" xfId="0" applyFont="1" applyFill="1" applyProtection="1"/>
    <xf numFmtId="0" fontId="8" fillId="8" borderId="0" xfId="0" applyFont="1" applyFill="1" applyAlignment="1" applyProtection="1">
      <alignment horizontal="center"/>
    </xf>
    <xf numFmtId="0" fontId="74" fillId="8" borderId="0" xfId="0" applyFont="1" applyFill="1" applyProtection="1"/>
    <xf numFmtId="0" fontId="0" fillId="8" borderId="0" xfId="0" applyFill="1" applyAlignment="1" applyProtection="1"/>
    <xf numFmtId="0" fontId="13" fillId="8" borderId="0" xfId="0" applyFont="1" applyFill="1" applyProtection="1"/>
    <xf numFmtId="0" fontId="5" fillId="8" borderId="0" xfId="0" applyFont="1" applyFill="1" applyProtection="1"/>
    <xf numFmtId="0" fontId="15" fillId="8" borderId="0" xfId="0" applyFont="1" applyFill="1" applyAlignment="1" applyProtection="1">
      <alignment horizontal="center"/>
    </xf>
    <xf numFmtId="0" fontId="7" fillId="8" borderId="0" xfId="0" applyFont="1" applyFill="1" applyProtection="1"/>
    <xf numFmtId="0" fontId="0" fillId="8" borderId="0" xfId="0" applyFill="1" applyAlignment="1" applyProtection="1">
      <alignment horizontal="center"/>
    </xf>
    <xf numFmtId="0" fontId="30" fillId="8" borderId="0" xfId="0" applyFont="1" applyFill="1" applyProtection="1"/>
    <xf numFmtId="0" fontId="30" fillId="8" borderId="0" xfId="0" applyFont="1" applyFill="1" applyAlignment="1" applyProtection="1">
      <alignment horizontal="left"/>
    </xf>
    <xf numFmtId="0" fontId="72" fillId="8" borderId="0" xfId="0" applyFont="1" applyFill="1" applyProtection="1"/>
    <xf numFmtId="44" fontId="0" fillId="8" borderId="0" xfId="0" applyNumberFormat="1" applyFill="1" applyAlignment="1" applyProtection="1"/>
    <xf numFmtId="0" fontId="4" fillId="8" borderId="0" xfId="0" applyFont="1" applyFill="1" applyAlignment="1" applyProtection="1">
      <alignment horizontal="center"/>
    </xf>
    <xf numFmtId="0" fontId="9" fillId="8" borderId="0" xfId="0" applyFont="1" applyFill="1" applyAlignment="1" applyProtection="1">
      <alignment horizontal="center"/>
    </xf>
    <xf numFmtId="0" fontId="0" fillId="8" borderId="0" xfId="0" applyFont="1" applyFill="1" applyAlignment="1" applyProtection="1"/>
    <xf numFmtId="9" fontId="6" fillId="8" borderId="0" xfId="130" applyFont="1" applyFill="1" applyAlignment="1" applyProtection="1">
      <alignment horizontal="left"/>
    </xf>
    <xf numFmtId="0" fontId="4" fillId="8" borderId="0" xfId="0" applyFont="1" applyFill="1" applyProtection="1"/>
    <xf numFmtId="0" fontId="4" fillId="8" borderId="0" xfId="0" applyFont="1" applyFill="1" applyAlignment="1" applyProtection="1">
      <alignment wrapText="1"/>
    </xf>
    <xf numFmtId="9" fontId="4" fillId="8" borderId="0" xfId="0" applyNumberFormat="1" applyFont="1" applyFill="1" applyAlignment="1" applyProtection="1">
      <alignment horizontal="left"/>
    </xf>
    <xf numFmtId="0" fontId="4" fillId="8" borderId="0" xfId="0" applyFont="1" applyFill="1" applyAlignment="1" applyProtection="1"/>
    <xf numFmtId="44" fontId="4" fillId="8" borderId="0" xfId="0" applyNumberFormat="1" applyFont="1" applyFill="1" applyAlignment="1" applyProtection="1"/>
    <xf numFmtId="0" fontId="78" fillId="8" borderId="0" xfId="6" applyFont="1" applyFill="1" applyProtection="1"/>
    <xf numFmtId="0" fontId="78" fillId="8" borderId="0" xfId="6" applyFont="1" applyFill="1" applyAlignment="1" applyProtection="1">
      <alignment horizontal="center"/>
      <protection locked="0"/>
    </xf>
    <xf numFmtId="0" fontId="73" fillId="8" borderId="0" xfId="0" applyFont="1" applyFill="1" applyAlignment="1" applyProtection="1">
      <alignment horizontal="center"/>
    </xf>
    <xf numFmtId="44" fontId="63" fillId="8" borderId="0" xfId="0" applyNumberFormat="1" applyFont="1" applyFill="1" applyAlignment="1" applyProtection="1"/>
    <xf numFmtId="44" fontId="63" fillId="8" borderId="0" xfId="0" applyNumberFormat="1" applyFont="1" applyFill="1" applyAlignment="1" applyProtection="1">
      <alignment horizontal="center"/>
    </xf>
    <xf numFmtId="9" fontId="4" fillId="8" borderId="0" xfId="0" applyNumberFormat="1" applyFont="1" applyFill="1"/>
    <xf numFmtId="44" fontId="4" fillId="8" borderId="0" xfId="0" applyNumberFormat="1" applyFont="1" applyFill="1"/>
    <xf numFmtId="0" fontId="4" fillId="8" borderId="0" xfId="0" applyFont="1" applyFill="1" applyAlignment="1" applyProtection="1">
      <alignment horizontal="center"/>
      <protection locked="0"/>
    </xf>
    <xf numFmtId="9" fontId="7" fillId="0" borderId="0" xfId="0" applyNumberFormat="1" applyFont="1"/>
    <xf numFmtId="0" fontId="80" fillId="8" borderId="0" xfId="0" applyFont="1" applyFill="1" applyProtection="1"/>
    <xf numFmtId="0" fontId="79" fillId="8" borderId="0" xfId="0" applyFont="1" applyFill="1" applyProtection="1"/>
    <xf numFmtId="0" fontId="81" fillId="8" borderId="0" xfId="0" applyFont="1" applyFill="1" applyProtection="1">
      <protection locked="0"/>
    </xf>
    <xf numFmtId="0" fontId="81" fillId="8" borderId="0" xfId="0" applyFont="1" applyFill="1" applyAlignment="1" applyProtection="1">
      <alignment horizontal="left"/>
      <protection locked="0"/>
    </xf>
    <xf numFmtId="15" fontId="81" fillId="8" borderId="0" xfId="0" applyNumberFormat="1" applyFont="1" applyFill="1" applyProtection="1">
      <protection locked="0"/>
    </xf>
    <xf numFmtId="0" fontId="82" fillId="8" borderId="0" xfId="0" applyFont="1" applyFill="1" applyProtection="1"/>
    <xf numFmtId="0" fontId="82" fillId="8" borderId="0" xfId="0" applyFont="1" applyFill="1" applyAlignment="1" applyProtection="1">
      <alignment horizontal="left"/>
    </xf>
    <xf numFmtId="0" fontId="83" fillId="8" borderId="0" xfId="0" applyFont="1" applyFill="1" applyProtection="1"/>
    <xf numFmtId="0" fontId="84" fillId="8" borderId="0" xfId="0" applyFont="1" applyFill="1" applyProtection="1"/>
    <xf numFmtId="0" fontId="85" fillId="8" borderId="0" xfId="0" applyFont="1" applyFill="1" applyAlignment="1" applyProtection="1">
      <alignment horizontal="center"/>
    </xf>
    <xf numFmtId="0" fontId="86" fillId="8" borderId="0" xfId="0" applyFont="1" applyFill="1" applyProtection="1"/>
    <xf numFmtId="0" fontId="87" fillId="8" borderId="0" xfId="0" applyFont="1" applyFill="1" applyAlignment="1" applyProtection="1">
      <alignment horizontal="left"/>
    </xf>
    <xf numFmtId="0" fontId="83" fillId="8" borderId="0" xfId="0" applyFont="1" applyFill="1" applyAlignment="1" applyProtection="1">
      <alignment wrapText="1"/>
    </xf>
    <xf numFmtId="0" fontId="83" fillId="8" borderId="0" xfId="0" applyFont="1" applyFill="1" applyAlignment="1" applyProtection="1">
      <alignment horizontal="center" wrapText="1"/>
    </xf>
    <xf numFmtId="0" fontId="88" fillId="8" borderId="0" xfId="0" applyFont="1" applyFill="1" applyAlignment="1" applyProtection="1">
      <alignment horizontal="left"/>
    </xf>
    <xf numFmtId="0" fontId="10" fillId="8" borderId="0" xfId="0" applyFont="1" applyFill="1" applyAlignment="1" applyProtection="1"/>
    <xf numFmtId="0" fontId="89" fillId="8" borderId="0" xfId="0" applyFont="1" applyFill="1"/>
    <xf numFmtId="0" fontId="79" fillId="8" borderId="0" xfId="0" applyFont="1" applyFill="1"/>
    <xf numFmtId="44" fontId="79" fillId="8" borderId="0" xfId="0" applyNumberFormat="1" applyFont="1" applyFill="1" applyAlignment="1">
      <alignment horizontal="center"/>
    </xf>
    <xf numFmtId="44" fontId="79" fillId="8" borderId="0" xfId="0" applyNumberFormat="1" applyFont="1" applyFill="1"/>
    <xf numFmtId="44" fontId="79" fillId="8" borderId="0" xfId="0" applyNumberFormat="1" applyFont="1" applyFill="1" applyAlignment="1" applyProtection="1"/>
    <xf numFmtId="0" fontId="79" fillId="8" borderId="0" xfId="0" applyFont="1" applyFill="1" applyAlignment="1"/>
    <xf numFmtId="0" fontId="90" fillId="8" borderId="0" xfId="0" applyFont="1" applyFill="1" applyAlignment="1" applyProtection="1">
      <alignment horizontal="center"/>
      <protection locked="0"/>
    </xf>
    <xf numFmtId="0" fontId="90" fillId="8" borderId="0" xfId="0" applyFont="1" applyFill="1" applyAlignment="1" applyProtection="1">
      <alignment horizontal="center"/>
    </xf>
    <xf numFmtId="0" fontId="90" fillId="8" borderId="0" xfId="0" applyFont="1" applyFill="1" applyProtection="1"/>
    <xf numFmtId="165" fontId="90" fillId="8" borderId="0" xfId="0" applyNumberFormat="1" applyFont="1" applyFill="1" applyProtection="1"/>
    <xf numFmtId="44" fontId="91" fillId="8" borderId="0" xfId="0" applyNumberFormat="1" applyFont="1" applyFill="1" applyAlignment="1" applyProtection="1">
      <alignment horizontal="center"/>
    </xf>
    <xf numFmtId="9" fontId="90" fillId="8" borderId="0" xfId="0" applyNumberFormat="1" applyFont="1" applyFill="1" applyProtection="1"/>
    <xf numFmtId="44" fontId="15" fillId="8" borderId="0" xfId="0" applyNumberFormat="1" applyFont="1" applyFill="1" applyAlignment="1" applyProtection="1">
      <protection locked="0"/>
    </xf>
    <xf numFmtId="44" fontId="83" fillId="8" borderId="0" xfId="0" applyNumberFormat="1" applyFont="1" applyFill="1" applyProtection="1"/>
    <xf numFmtId="44" fontId="83" fillId="8" borderId="0" xfId="0" applyNumberFormat="1" applyFont="1" applyFill="1" applyAlignment="1" applyProtection="1">
      <alignment horizontal="center"/>
    </xf>
    <xf numFmtId="44" fontId="83" fillId="8" borderId="0" xfId="0" applyNumberFormat="1" applyFont="1" applyFill="1" applyAlignment="1">
      <alignment horizontal="center"/>
    </xf>
    <xf numFmtId="9" fontId="4" fillId="8" borderId="0" xfId="130" applyFont="1" applyFill="1"/>
    <xf numFmtId="0" fontId="92"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vertical="center" wrapText="1" indent="6"/>
    </xf>
    <xf numFmtId="0" fontId="98" fillId="0" borderId="0" xfId="0" applyFont="1" applyAlignment="1">
      <alignment horizontal="left" vertical="center" wrapText="1"/>
    </xf>
    <xf numFmtId="0" fontId="99" fillId="0" borderId="2" xfId="0" applyFont="1" applyBorder="1" applyAlignment="1">
      <alignment vertical="center" wrapText="1"/>
    </xf>
    <xf numFmtId="0" fontId="100" fillId="0" borderId="4" xfId="0" applyFont="1" applyBorder="1" applyAlignment="1">
      <alignment vertical="center" wrapText="1"/>
    </xf>
    <xf numFmtId="0" fontId="44" fillId="0" borderId="0" xfId="0" applyFont="1" applyAlignment="1">
      <alignment vertical="center"/>
    </xf>
    <xf numFmtId="173" fontId="0" fillId="0" borderId="0" xfId="0" applyNumberFormat="1"/>
    <xf numFmtId="10" fontId="6" fillId="8" borderId="0" xfId="130" applyNumberFormat="1" applyFont="1" applyFill="1" applyAlignment="1" applyProtection="1">
      <alignment horizontal="left"/>
    </xf>
    <xf numFmtId="0" fontId="64" fillId="7" borderId="0" xfId="0" applyFont="1" applyFill="1" applyBorder="1" applyAlignment="1">
      <alignment horizontal="left" vertical="top"/>
    </xf>
    <xf numFmtId="0" fontId="64" fillId="7" borderId="0" xfId="0" applyFont="1" applyFill="1" applyBorder="1" applyAlignment="1">
      <alignment horizontal="left" vertical="top" wrapText="1"/>
    </xf>
    <xf numFmtId="44" fontId="64" fillId="7" borderId="0" xfId="1" applyFont="1" applyFill="1"/>
    <xf numFmtId="0" fontId="0" fillId="0" borderId="53" xfId="0" applyBorder="1"/>
    <xf numFmtId="44" fontId="0" fillId="0" borderId="53" xfId="0" applyNumberFormat="1" applyBorder="1"/>
    <xf numFmtId="44" fontId="0" fillId="15" borderId="53" xfId="0" applyNumberFormat="1" applyFill="1" applyBorder="1"/>
    <xf numFmtId="0" fontId="11" fillId="0" borderId="53" xfId="0" applyFont="1" applyBorder="1"/>
    <xf numFmtId="0" fontId="7" fillId="11" borderId="54" xfId="0" applyFont="1" applyFill="1" applyBorder="1" applyAlignment="1"/>
    <xf numFmtId="164" fontId="0" fillId="0" borderId="0" xfId="0" applyNumberFormat="1"/>
    <xf numFmtId="10" fontId="0" fillId="26" borderId="0" xfId="0" applyNumberFormat="1" applyFill="1"/>
    <xf numFmtId="0" fontId="0" fillId="26" borderId="0" xfId="0" applyFill="1"/>
    <xf numFmtId="0" fontId="8" fillId="23" borderId="8" xfId="0" applyFont="1" applyFill="1" applyBorder="1" applyAlignment="1" applyProtection="1">
      <alignment horizontal="center"/>
    </xf>
    <xf numFmtId="0" fontId="8" fillId="23" borderId="0" xfId="0" applyFont="1" applyFill="1" applyBorder="1" applyAlignment="1" applyProtection="1">
      <alignment horizontal="center"/>
    </xf>
    <xf numFmtId="0" fontId="101" fillId="0" borderId="0" xfId="0" applyFont="1"/>
    <xf numFmtId="0" fontId="7" fillId="46" borderId="0" xfId="0" applyFont="1" applyFill="1"/>
    <xf numFmtId="0" fontId="7" fillId="20" borderId="0" xfId="0" applyFont="1" applyFill="1" applyBorder="1" applyAlignment="1"/>
    <xf numFmtId="0" fontId="102" fillId="0" borderId="0" xfId="0" applyFont="1"/>
    <xf numFmtId="9" fontId="8" fillId="8" borderId="0" xfId="0" applyNumberFormat="1" applyFont="1" applyFill="1" applyBorder="1" applyAlignment="1">
      <alignment horizontal="center"/>
    </xf>
    <xf numFmtId="0" fontId="8" fillId="8" borderId="0" xfId="0" applyNumberFormat="1" applyFont="1" applyFill="1" applyBorder="1" applyAlignment="1">
      <alignment horizontal="center"/>
    </xf>
    <xf numFmtId="9" fontId="8" fillId="23" borderId="8" xfId="0" applyNumberFormat="1" applyFont="1" applyFill="1" applyBorder="1" applyAlignment="1">
      <alignment horizontal="center"/>
    </xf>
    <xf numFmtId="0" fontId="8" fillId="23" borderId="8" xfId="0" applyFont="1" applyFill="1" applyBorder="1" applyAlignment="1" applyProtection="1">
      <alignment horizontal="center" wrapText="1"/>
    </xf>
    <xf numFmtId="0" fontId="20" fillId="0" borderId="0" xfId="0" applyFont="1" applyAlignment="1" applyProtection="1">
      <alignment wrapText="1"/>
    </xf>
    <xf numFmtId="0" fontId="20" fillId="0" borderId="0" xfId="0" applyFont="1" applyAlignment="1" applyProtection="1"/>
    <xf numFmtId="0" fontId="0" fillId="0" borderId="0" xfId="0" applyAlignment="1" applyProtection="1"/>
    <xf numFmtId="0" fontId="23" fillId="0" borderId="0" xfId="0" applyFont="1" applyAlignment="1" applyProtection="1">
      <alignment vertical="center" wrapText="1"/>
    </xf>
    <xf numFmtId="0" fontId="0" fillId="0" borderId="0" xfId="0" applyAlignment="1">
      <alignment wrapText="1"/>
    </xf>
    <xf numFmtId="0" fontId="24" fillId="6" borderId="0" xfId="0" applyFont="1" applyFill="1" applyAlignment="1" applyProtection="1">
      <alignment vertical="center"/>
    </xf>
    <xf numFmtId="0" fontId="20" fillId="6" borderId="0" xfId="0" applyFont="1" applyFill="1" applyAlignment="1" applyProtection="1">
      <alignment vertical="center"/>
    </xf>
    <xf numFmtId="0" fontId="0" fillId="0" borderId="0" xfId="0" applyAlignment="1" applyProtection="1">
      <alignment vertical="center"/>
    </xf>
    <xf numFmtId="0" fontId="25" fillId="6" borderId="0" xfId="0" applyFont="1" applyFill="1" applyAlignment="1" applyProtection="1">
      <alignment vertical="center"/>
    </xf>
    <xf numFmtId="0" fontId="20" fillId="0" borderId="0" xfId="0" applyFont="1" applyFill="1" applyBorder="1" applyProtection="1"/>
    <xf numFmtId="0" fontId="20" fillId="0" borderId="0" xfId="0" applyFont="1" applyBorder="1" applyAlignment="1" applyProtection="1">
      <alignment wrapText="1"/>
    </xf>
    <xf numFmtId="0" fontId="20" fillId="0" borderId="0" xfId="0" applyFont="1" applyBorder="1" applyProtection="1"/>
    <xf numFmtId="0" fontId="20" fillId="0" borderId="49" xfId="0" applyFont="1" applyBorder="1" applyAlignment="1" applyProtection="1">
      <alignment horizontal="center"/>
      <protection locked="0"/>
    </xf>
    <xf numFmtId="0" fontId="20" fillId="0" borderId="6" xfId="0" applyFont="1" applyBorder="1" applyAlignment="1" applyProtection="1">
      <alignment wrapText="1"/>
      <protection locked="0"/>
    </xf>
    <xf numFmtId="0" fontId="20" fillId="8" borderId="0" xfId="0" applyFont="1" applyFill="1" applyProtection="1"/>
    <xf numFmtId="0" fontId="20" fillId="0" borderId="0" xfId="0" applyFont="1" applyBorder="1" applyAlignment="1" applyProtection="1">
      <alignment horizontal="center"/>
    </xf>
    <xf numFmtId="0" fontId="0" fillId="0" borderId="0" xfId="0" applyProtection="1"/>
    <xf numFmtId="0" fontId="20" fillId="0" borderId="0" xfId="0" applyFont="1" applyProtection="1"/>
    <xf numFmtId="0" fontId="0" fillId="0" borderId="0" xfId="0" applyAlignment="1" applyProtection="1"/>
    <xf numFmtId="0" fontId="20" fillId="0" borderId="0" xfId="0" applyFont="1" applyAlignment="1" applyProtection="1"/>
    <xf numFmtId="44" fontId="0" fillId="0" borderId="0" xfId="0" applyNumberFormat="1" applyFont="1"/>
    <xf numFmtId="173" fontId="0" fillId="0" borderId="0" xfId="0" applyNumberFormat="1" applyFont="1"/>
    <xf numFmtId="0" fontId="0" fillId="18" borderId="0" xfId="0" applyFill="1"/>
    <xf numFmtId="0" fontId="44" fillId="0" borderId="0" xfId="0" applyFont="1" applyFill="1" applyBorder="1" applyAlignment="1">
      <alignment horizontal="left" vertical="top" wrapText="1"/>
    </xf>
    <xf numFmtId="0" fontId="44" fillId="0" borderId="0" xfId="0" applyFont="1" applyFill="1" applyBorder="1" applyAlignment="1">
      <alignment horizontal="center" vertical="top" wrapText="1"/>
    </xf>
    <xf numFmtId="164" fontId="44" fillId="0" borderId="0" xfId="0" applyNumberFormat="1" applyFont="1" applyFill="1" applyProtection="1">
      <protection locked="0"/>
    </xf>
    <xf numFmtId="173" fontId="0" fillId="0" borderId="0" xfId="0" applyNumberFormat="1" applyFill="1" applyAlignment="1">
      <alignment horizontal="center"/>
    </xf>
    <xf numFmtId="0" fontId="61" fillId="0" borderId="0" xfId="0" applyFont="1" applyFill="1"/>
    <xf numFmtId="0" fontId="0" fillId="0" borderId="0" xfId="0" applyFill="1" applyAlignment="1">
      <alignment horizontal="center"/>
    </xf>
    <xf numFmtId="173" fontId="0" fillId="0" borderId="0" xfId="0" applyNumberFormat="1" applyFill="1"/>
    <xf numFmtId="0" fontId="11" fillId="0" borderId="0" xfId="0" applyFont="1" applyAlignment="1">
      <alignment horizontal="center"/>
    </xf>
    <xf numFmtId="173" fontId="11" fillId="0" borderId="0" xfId="0" applyNumberFormat="1" applyFont="1" applyAlignment="1">
      <alignment horizontal="center"/>
    </xf>
    <xf numFmtId="44" fontId="0" fillId="3" borderId="0" xfId="0" applyNumberFormat="1" applyFill="1"/>
    <xf numFmtId="0" fontId="7" fillId="0" borderId="0" xfId="0" applyFont="1" applyFill="1" applyAlignment="1">
      <alignment horizontal="center"/>
    </xf>
    <xf numFmtId="44" fontId="0" fillId="18" borderId="0" xfId="0" applyNumberFormat="1" applyFill="1"/>
    <xf numFmtId="0" fontId="7" fillId="8" borderId="0" xfId="0" applyFont="1" applyFill="1" applyAlignment="1">
      <alignment horizontal="center"/>
    </xf>
    <xf numFmtId="167" fontId="39" fillId="15" borderId="6" xfId="0" applyNumberFormat="1" applyFont="1" applyFill="1" applyBorder="1"/>
    <xf numFmtId="0" fontId="61" fillId="3" borderId="0" xfId="0" applyFont="1" applyFill="1"/>
    <xf numFmtId="0" fontId="20" fillId="0" borderId="0" xfId="0" applyFont="1" applyAlignment="1" applyProtection="1">
      <alignment wrapText="1"/>
    </xf>
    <xf numFmtId="0" fontId="0" fillId="0" borderId="0" xfId="0" applyAlignment="1" applyProtection="1"/>
    <xf numFmtId="0" fontId="22" fillId="0" borderId="0" xfId="0" applyFont="1" applyAlignment="1" applyProtection="1">
      <alignment horizontal="left"/>
      <protection locked="0"/>
    </xf>
    <xf numFmtId="0" fontId="20" fillId="0" borderId="0" xfId="0" applyFont="1" applyAlignment="1" applyProtection="1">
      <alignment horizontal="left"/>
      <protection locked="0"/>
    </xf>
    <xf numFmtId="0" fontId="20" fillId="0" borderId="0" xfId="0" applyFont="1" applyAlignment="1" applyProtection="1">
      <alignment horizontal="left" vertical="center" wrapText="1"/>
    </xf>
    <xf numFmtId="0" fontId="20" fillId="0" borderId="0" xfId="0" applyFont="1" applyAlignment="1" applyProtection="1"/>
    <xf numFmtId="0" fontId="22" fillId="0" borderId="0" xfId="0" applyFont="1" applyAlignment="1" applyProtection="1">
      <protection locked="0"/>
    </xf>
    <xf numFmtId="0" fontId="20" fillId="0" borderId="0" xfId="0" applyFont="1" applyAlignment="1" applyProtection="1">
      <protection locked="0"/>
    </xf>
    <xf numFmtId="0" fontId="31" fillId="0" borderId="0" xfId="0" applyFont="1" applyAlignment="1" applyProtection="1">
      <alignment horizontal="center" vertical="center"/>
    </xf>
    <xf numFmtId="0" fontId="32" fillId="0" borderId="0" xfId="0" applyFont="1" applyAlignment="1" applyProtection="1">
      <alignment horizontal="center"/>
    </xf>
    <xf numFmtId="0" fontId="33" fillId="0" borderId="0" xfId="0" applyFont="1" applyAlignment="1" applyProtection="1"/>
    <xf numFmtId="0" fontId="28" fillId="0" borderId="0" xfId="0" applyFont="1" applyAlignment="1" applyProtection="1">
      <alignment horizontal="center"/>
    </xf>
    <xf numFmtId="0" fontId="29" fillId="0" borderId="0" xfId="0" applyFont="1" applyAlignment="1" applyProtection="1">
      <alignment horizontal="center"/>
    </xf>
    <xf numFmtId="0" fontId="0" fillId="0" borderId="0" xfId="0" applyAlignment="1"/>
    <xf numFmtId="0" fontId="21" fillId="0" borderId="0" xfId="0" applyFont="1" applyAlignment="1" applyProtection="1">
      <alignment wrapText="1"/>
    </xf>
    <xf numFmtId="0" fontId="21" fillId="0" borderId="0" xfId="0" applyFont="1" applyAlignment="1" applyProtection="1"/>
    <xf numFmtId="0" fontId="0" fillId="0" borderId="0" xfId="0" applyAlignment="1">
      <alignment horizontal="left"/>
    </xf>
    <xf numFmtId="0" fontId="0" fillId="0" borderId="0" xfId="0" applyAlignment="1">
      <alignment wrapText="1"/>
    </xf>
    <xf numFmtId="0" fontId="23" fillId="0" borderId="0" xfId="0" applyFont="1" applyAlignment="1" applyProtection="1">
      <alignment vertical="center" wrapText="1"/>
    </xf>
    <xf numFmtId="0" fontId="0" fillId="0" borderId="0" xfId="0" applyAlignment="1" applyProtection="1">
      <protection locked="0"/>
    </xf>
    <xf numFmtId="0" fontId="20" fillId="0" borderId="0" xfId="0" applyFont="1" applyAlignment="1" applyProtection="1">
      <alignment vertical="top" wrapText="1"/>
      <protection locked="0"/>
    </xf>
    <xf numFmtId="0" fontId="0" fillId="0" borderId="0" xfId="0" applyAlignment="1" applyProtection="1">
      <alignment vertical="top" wrapText="1"/>
      <protection locked="0"/>
    </xf>
    <xf numFmtId="0" fontId="103" fillId="0" borderId="0" xfId="0" applyFont="1" applyAlignment="1">
      <alignment wrapText="1"/>
    </xf>
    <xf numFmtId="0" fontId="103" fillId="8" borderId="0" xfId="0" applyFont="1" applyFill="1" applyAlignment="1">
      <alignment wrapText="1"/>
    </xf>
    <xf numFmtId="0" fontId="0" fillId="8" borderId="0" xfId="0" applyFill="1" applyAlignment="1">
      <alignment wrapText="1"/>
    </xf>
    <xf numFmtId="0" fontId="0" fillId="0" borderId="0" xfId="0" applyAlignment="1" applyProtection="1">
      <alignment wrapText="1"/>
      <protection locked="0"/>
    </xf>
    <xf numFmtId="0" fontId="8" fillId="23" borderId="8" xfId="0" applyNumberFormat="1" applyFont="1" applyFill="1" applyBorder="1" applyAlignment="1">
      <alignment horizontal="left"/>
    </xf>
    <xf numFmtId="0" fontId="0" fillId="0" borderId="0" xfId="0" applyBorder="1" applyAlignment="1">
      <alignment horizontal="left"/>
    </xf>
    <xf numFmtId="9" fontId="4" fillId="8" borderId="0" xfId="0" applyNumberFormat="1" applyFont="1" applyFill="1" applyAlignment="1" applyProtection="1">
      <alignment horizontal="center"/>
    </xf>
    <xf numFmtId="0" fontId="62" fillId="23" borderId="0" xfId="0" applyFont="1" applyFill="1" applyAlignment="1" applyProtection="1">
      <alignment horizontal="center"/>
      <protection locked="0"/>
    </xf>
    <xf numFmtId="0" fontId="83" fillId="8" borderId="0" xfId="0" applyFont="1" applyFill="1" applyAlignment="1" applyProtection="1">
      <alignment wrapText="1"/>
    </xf>
    <xf numFmtId="0" fontId="8" fillId="23" borderId="0" xfId="0" applyFont="1" applyFill="1" applyAlignment="1" applyProtection="1">
      <alignment horizontal="center"/>
      <protection locked="0"/>
    </xf>
    <xf numFmtId="0" fontId="19" fillId="8" borderId="0" xfId="0" applyFont="1" applyFill="1" applyAlignment="1" applyProtection="1">
      <alignment horizontal="right"/>
    </xf>
    <xf numFmtId="0" fontId="8" fillId="8" borderId="0" xfId="0" applyFont="1" applyFill="1" applyAlignment="1" applyProtection="1">
      <alignment horizontal="center"/>
    </xf>
    <xf numFmtId="0" fontId="50" fillId="23" borderId="0" xfId="0" applyFont="1" applyFill="1" applyAlignment="1" applyProtection="1">
      <alignment horizontal="center" vertical="center"/>
      <protection locked="0"/>
    </xf>
    <xf numFmtId="0" fontId="6" fillId="8" borderId="0" xfId="0" applyFont="1" applyFill="1" applyAlignment="1" applyProtection="1">
      <alignment horizontal="right"/>
    </xf>
    <xf numFmtId="0" fontId="6" fillId="8" borderId="0" xfId="0" applyFont="1" applyFill="1" applyAlignment="1">
      <alignment horizontal="right"/>
    </xf>
    <xf numFmtId="0" fontId="4" fillId="8" borderId="0" xfId="0" applyFont="1" applyFill="1" applyAlignment="1" applyProtection="1">
      <alignment horizontal="center"/>
      <protection locked="0"/>
    </xf>
    <xf numFmtId="0" fontId="79" fillId="8" borderId="0" xfId="0" applyFont="1" applyFill="1" applyAlignment="1"/>
    <xf numFmtId="0" fontId="86" fillId="8" borderId="0" xfId="0" applyFont="1" applyFill="1" applyAlignment="1">
      <alignment horizontal="right"/>
    </xf>
    <xf numFmtId="0" fontId="8" fillId="23" borderId="0" xfId="0" applyFont="1" applyFill="1" applyBorder="1" applyAlignment="1" applyProtection="1">
      <alignment horizontal="center"/>
    </xf>
    <xf numFmtId="0" fontId="0" fillId="23" borderId="7" xfId="0" applyFill="1" applyBorder="1" applyAlignment="1">
      <alignment horizontal="center"/>
    </xf>
    <xf numFmtId="0" fontId="74" fillId="8" borderId="0" xfId="0" applyFont="1" applyFill="1" applyAlignment="1"/>
    <xf numFmtId="0" fontId="66" fillId="13" borderId="32" xfId="0" applyFont="1" applyFill="1" applyBorder="1" applyAlignment="1">
      <alignment horizontal="left" vertical="center"/>
    </xf>
    <xf numFmtId="0" fontId="7" fillId="0" borderId="0" xfId="0" applyFont="1" applyAlignment="1">
      <alignment horizontal="left"/>
    </xf>
    <xf numFmtId="0" fontId="19" fillId="26" borderId="0" xfId="0" applyFont="1" applyFill="1" applyAlignment="1" applyProtection="1">
      <alignment horizontal="center"/>
    </xf>
    <xf numFmtId="0" fontId="8" fillId="26" borderId="0" xfId="0" applyFont="1" applyFill="1" applyAlignment="1">
      <alignment horizontal="center"/>
    </xf>
    <xf numFmtId="0" fontId="88" fillId="8" borderId="0" xfId="0" applyFont="1" applyFill="1" applyAlignment="1" applyProtection="1">
      <alignment horizontal="center"/>
    </xf>
    <xf numFmtId="0" fontId="79" fillId="8" borderId="0" xfId="0" applyFont="1" applyFill="1" applyAlignment="1">
      <alignment horizontal="center"/>
    </xf>
    <xf numFmtId="0" fontId="77" fillId="8" borderId="0" xfId="6" applyFont="1" applyFill="1" applyAlignment="1" applyProtection="1">
      <protection locked="0"/>
    </xf>
    <xf numFmtId="0" fontId="49" fillId="8" borderId="0" xfId="0" applyFont="1" applyFill="1" applyAlignment="1" applyProtection="1">
      <alignment wrapText="1"/>
    </xf>
    <xf numFmtId="0" fontId="49" fillId="8" borderId="0" xfId="0" applyFont="1" applyFill="1" applyAlignment="1">
      <alignment wrapText="1"/>
    </xf>
    <xf numFmtId="0" fontId="14" fillId="10" borderId="9" xfId="0" applyFont="1" applyFill="1" applyBorder="1" applyAlignment="1"/>
    <xf numFmtId="0" fontId="14" fillId="0" borderId="10" xfId="0" applyFont="1" applyBorder="1" applyAlignment="1"/>
    <xf numFmtId="0" fontId="14" fillId="0" borderId="45" xfId="0" applyFont="1" applyBorder="1" applyAlignment="1"/>
    <xf numFmtId="0" fontId="14" fillId="0" borderId="11" xfId="0" applyFont="1" applyBorder="1" applyAlignment="1"/>
    <xf numFmtId="0" fontId="14" fillId="10" borderId="38" xfId="0" applyFont="1" applyFill="1" applyBorder="1" applyAlignment="1"/>
    <xf numFmtId="0" fontId="14" fillId="0" borderId="42" xfId="0" applyFont="1" applyBorder="1" applyAlignment="1"/>
    <xf numFmtId="0" fontId="14" fillId="0" borderId="8" xfId="0" applyFont="1" applyBorder="1" applyAlignment="1"/>
    <xf numFmtId="0" fontId="14" fillId="0" borderId="39" xfId="0" applyFont="1" applyBorder="1" applyAlignment="1"/>
    <xf numFmtId="0" fontId="14" fillId="0" borderId="14" xfId="0" applyFont="1" applyBorder="1" applyAlignment="1"/>
    <xf numFmtId="0" fontId="14" fillId="0" borderId="15" xfId="0" applyFont="1" applyBorder="1" applyAlignment="1"/>
    <xf numFmtId="0" fontId="14" fillId="0" borderId="46" xfId="0" applyFont="1" applyBorder="1" applyAlignment="1"/>
    <xf numFmtId="0" fontId="14" fillId="0" borderId="16" xfId="0" applyFont="1" applyBorder="1" applyAlignment="1"/>
    <xf numFmtId="0" fontId="14" fillId="11" borderId="31" xfId="0" applyFont="1" applyFill="1" applyBorder="1" applyAlignment="1"/>
    <xf numFmtId="0" fontId="14" fillId="11" borderId="10" xfId="0" applyFont="1" applyFill="1" applyBorder="1" applyAlignment="1"/>
    <xf numFmtId="0" fontId="14" fillId="11" borderId="11" xfId="0" applyFont="1" applyFill="1" applyBorder="1" applyAlignment="1"/>
    <xf numFmtId="0" fontId="14" fillId="11" borderId="7" xfId="0" applyFont="1" applyFill="1" applyBorder="1" applyAlignment="1"/>
    <xf numFmtId="0" fontId="14" fillId="11" borderId="42" xfId="0" applyFont="1" applyFill="1" applyBorder="1" applyAlignment="1"/>
    <xf numFmtId="0" fontId="14" fillId="11" borderId="39" xfId="0" applyFont="1" applyFill="1" applyBorder="1" applyAlignment="1"/>
    <xf numFmtId="0" fontId="14" fillId="11" borderId="22" xfId="0" applyFont="1" applyFill="1" applyBorder="1" applyAlignment="1"/>
    <xf numFmtId="0" fontId="14" fillId="11" borderId="15" xfId="0" applyFont="1" applyFill="1" applyBorder="1" applyAlignment="1"/>
    <xf numFmtId="0" fontId="14" fillId="11" borderId="16" xfId="0" applyFont="1" applyFill="1" applyBorder="1" applyAlignment="1"/>
    <xf numFmtId="0" fontId="14" fillId="12" borderId="30" xfId="0" applyFont="1" applyFill="1" applyBorder="1" applyAlignment="1"/>
    <xf numFmtId="0" fontId="14" fillId="12" borderId="43" xfId="0" applyFont="1" applyFill="1" applyBorder="1" applyAlignment="1"/>
    <xf numFmtId="0" fontId="14" fillId="0" borderId="3" xfId="0" applyFont="1" applyBorder="1" applyAlignment="1"/>
    <xf numFmtId="0" fontId="14" fillId="13" borderId="9" xfId="0" applyFont="1" applyFill="1" applyBorder="1" applyAlignment="1">
      <alignment wrapText="1"/>
    </xf>
    <xf numFmtId="0" fontId="14" fillId="13" borderId="11" xfId="0" applyFont="1" applyFill="1" applyBorder="1" applyAlignment="1">
      <alignment wrapText="1"/>
    </xf>
    <xf numFmtId="0" fontId="14" fillId="13" borderId="38" xfId="0" applyFont="1" applyFill="1" applyBorder="1" applyAlignment="1">
      <alignment wrapText="1"/>
    </xf>
    <xf numFmtId="0" fontId="14" fillId="13" borderId="39" xfId="0" applyFont="1" applyFill="1" applyBorder="1" applyAlignment="1">
      <alignment wrapText="1"/>
    </xf>
    <xf numFmtId="0" fontId="14" fillId="13" borderId="14" xfId="0" applyFont="1" applyFill="1" applyBorder="1" applyAlignment="1">
      <alignment wrapText="1"/>
    </xf>
    <xf numFmtId="0" fontId="14" fillId="13" borderId="16" xfId="0" applyFont="1" applyFill="1" applyBorder="1" applyAlignment="1">
      <alignment wrapText="1"/>
    </xf>
    <xf numFmtId="0" fontId="4" fillId="8" borderId="0" xfId="0" applyFont="1" applyFill="1" applyAlignment="1" applyProtection="1">
      <alignment vertical="top"/>
      <protection locked="0"/>
    </xf>
    <xf numFmtId="0" fontId="48" fillId="0" borderId="0" xfId="0" applyFont="1" applyAlignment="1">
      <alignment wrapText="1"/>
    </xf>
  </cellXfs>
  <cellStyles count="149">
    <cellStyle name="20% - Accent1 2" xfId="7"/>
    <cellStyle name="20% - Accent1 2 2" xfId="8"/>
    <cellStyle name="20% - Accent1 3" xfId="9"/>
    <cellStyle name="20% - Accent2 2" xfId="10"/>
    <cellStyle name="20% - Accent2 2 2" xfId="11"/>
    <cellStyle name="20% - Accent2 3" xfId="12"/>
    <cellStyle name="20% - Accent3 2" xfId="13"/>
    <cellStyle name="20% - Accent3 2 2" xfId="14"/>
    <cellStyle name="20% - Accent3 3" xfId="15"/>
    <cellStyle name="20% - Accent4 2" xfId="16"/>
    <cellStyle name="20% - Accent4 2 2" xfId="17"/>
    <cellStyle name="20% - Accent4 3" xfId="18"/>
    <cellStyle name="20% - Accent5 2" xfId="19"/>
    <cellStyle name="20% - Accent5 2 2" xfId="20"/>
    <cellStyle name="20% - Accent5 3" xfId="21"/>
    <cellStyle name="20% - Accent6 2" xfId="22"/>
    <cellStyle name="20% - Accent6 2 2" xfId="23"/>
    <cellStyle name="20% - Accent6 3" xfId="24"/>
    <cellStyle name="40% - Accent1 2" xfId="25"/>
    <cellStyle name="40% - Accent1 2 2" xfId="26"/>
    <cellStyle name="40% - Accent1 3" xfId="27"/>
    <cellStyle name="40% - Accent2 2" xfId="28"/>
    <cellStyle name="40% - Accent2 2 2" xfId="29"/>
    <cellStyle name="40% - Accent2 3" xfId="30"/>
    <cellStyle name="40% - Accent3 2" xfId="31"/>
    <cellStyle name="40% - Accent3 2 2" xfId="32"/>
    <cellStyle name="40% - Accent3 3" xfId="33"/>
    <cellStyle name="40% - Accent4 2" xfId="34"/>
    <cellStyle name="40% - Accent4 2 2" xfId="35"/>
    <cellStyle name="40% - Accent4 3" xfId="36"/>
    <cellStyle name="40% - Accent5 2" xfId="37"/>
    <cellStyle name="40% - Accent5 2 2" xfId="38"/>
    <cellStyle name="40% - Accent5 3" xfId="39"/>
    <cellStyle name="40% - Accent6 2" xfId="40"/>
    <cellStyle name="40% - Accent6 2 2" xfId="41"/>
    <cellStyle name="40% - Accent6 3" xfId="42"/>
    <cellStyle name="bedrag, 0 decimalen" xfId="43"/>
    <cellStyle name="bedrag, 0 decimalen 2" xfId="44"/>
    <cellStyle name="bedrag, 0 decimalen 2 2" xfId="45"/>
    <cellStyle name="bedrag, 0 decimalen 3" xfId="46"/>
    <cellStyle name="bedrag, 0 decimalen 3 2" xfId="47"/>
    <cellStyle name="bedrag, 0 decimalen 4" xfId="48"/>
    <cellStyle name="Comma 2" xfId="49"/>
    <cellStyle name="Comma 2 2" xfId="50"/>
    <cellStyle name="Custom - Opmaakprofiel8" xfId="51"/>
    <cellStyle name="Data   - Opmaakprofiel2" xfId="52"/>
    <cellStyle name="Data   - Opmaakprofiel2 2" xfId="131"/>
    <cellStyle name="Data   - Opmaakprofiel2 2 2" xfId="140"/>
    <cellStyle name="Euro" xfId="53"/>
    <cellStyle name="Euro 2" xfId="54"/>
    <cellStyle name="Euro 3" xfId="55"/>
    <cellStyle name="Hyperlink" xfId="6" builtinId="8"/>
    <cellStyle name="Komma 2" xfId="5"/>
    <cellStyle name="Komma 2 2" xfId="56"/>
    <cellStyle name="Komma 3" xfId="57"/>
    <cellStyle name="Komma 4" xfId="58"/>
    <cellStyle name="Labels - Opmaakprofiel3" xfId="59"/>
    <cellStyle name="Labels - Opmaakprofiel3 2" xfId="132"/>
    <cellStyle name="Labels - Opmaakprofiel3 2 2" xfId="141"/>
    <cellStyle name="Normal - Opmaakprofiel1" xfId="60"/>
    <cellStyle name="Normal - Opmaakprofiel2" xfId="61"/>
    <cellStyle name="Normal - Opmaakprofiel3" xfId="62"/>
    <cellStyle name="Normal - Opmaakprofiel4" xfId="63"/>
    <cellStyle name="Normal - Opmaakprofiel5" xfId="64"/>
    <cellStyle name="Normal - Opmaakprofiel6" xfId="65"/>
    <cellStyle name="Normal - Opmaakprofiel7" xfId="66"/>
    <cellStyle name="Normal - Opmaakprofiel8" xfId="67"/>
    <cellStyle name="Normal 10" xfId="68"/>
    <cellStyle name="Normal 2" xfId="69"/>
    <cellStyle name="Normal 2 2" xfId="70"/>
    <cellStyle name="Normal 3" xfId="71"/>
    <cellStyle name="Normal 3 2" xfId="72"/>
    <cellStyle name="Normal 4" xfId="73"/>
    <cellStyle name="Normal 4 2" xfId="74"/>
    <cellStyle name="Normal 5" xfId="75"/>
    <cellStyle name="Normal 5 2" xfId="76"/>
    <cellStyle name="Normal 6" xfId="77"/>
    <cellStyle name="Normal 6 2" xfId="78"/>
    <cellStyle name="Normal 7" xfId="79"/>
    <cellStyle name="Normal 7 2" xfId="80"/>
    <cellStyle name="Normal 8" xfId="81"/>
    <cellStyle name="Normal 8 2" xfId="82"/>
    <cellStyle name="Normal 9" xfId="83"/>
    <cellStyle name="Normal 9 2" xfId="84"/>
    <cellStyle name="Notitie 2" xfId="85"/>
    <cellStyle name="Notitie 2 2" xfId="86"/>
    <cellStyle name="Notitie 2 2 2" xfId="87"/>
    <cellStyle name="Notitie 2 3" xfId="88"/>
    <cellStyle name="Notitie 2 3 2" xfId="89"/>
    <cellStyle name="Notitie 2 4" xfId="90"/>
    <cellStyle name="prijs, 2 decimalen" xfId="91"/>
    <cellStyle name="prijs, 2 decimalen 2" xfId="92"/>
    <cellStyle name="prijs, 2 decimalen 2 2" xfId="93"/>
    <cellStyle name="prijs, 2 decimalen 3" xfId="94"/>
    <cellStyle name="prijs, 2 decimalen 3 2" xfId="95"/>
    <cellStyle name="prijs, 2 decimalen 4" xfId="96"/>
    <cellStyle name="Procent" xfId="130" builtinId="5"/>
    <cellStyle name="Procent 2" xfId="97"/>
    <cellStyle name="Procent 3" xfId="98"/>
    <cellStyle name="Procent 4" xfId="99"/>
    <cellStyle name="Reset  - Opmaakprofiel7" xfId="100"/>
    <cellStyle name="Standaard" xfId="0" builtinId="0"/>
    <cellStyle name="Standaard 2" xfId="101"/>
    <cellStyle name="Standaard 2 2" xfId="2"/>
    <cellStyle name="Standaard 2 2 2" xfId="102"/>
    <cellStyle name="Standaard 2 2 3" xfId="103"/>
    <cellStyle name="Standaard 3" xfId="104"/>
    <cellStyle name="Standaard 3 2" xfId="105"/>
    <cellStyle name="Standaard 3 2 2" xfId="106"/>
    <cellStyle name="Standaard 3 3" xfId="107"/>
    <cellStyle name="Standaard 3 3 2" xfId="108"/>
    <cellStyle name="Standaard 3 4" xfId="109"/>
    <cellStyle name="Standaard 4" xfId="3"/>
    <cellStyle name="Standaard 4 2" xfId="4"/>
    <cellStyle name="Standaard 5" xfId="110"/>
    <cellStyle name="Standaard 6" xfId="111"/>
    <cellStyle name="Tabelstandaard" xfId="112"/>
    <cellStyle name="Tabelstandaard financieel" xfId="113"/>
    <cellStyle name="Tabelstandaard negatief" xfId="114"/>
    <cellStyle name="Tabelstandaard Totaal" xfId="115"/>
    <cellStyle name="Tabelstandaard Totaal 2" xfId="133"/>
    <cellStyle name="Tabelstandaard Totaal 2 2" xfId="142"/>
    <cellStyle name="Tabelstandaard Totaal Negatief" xfId="116"/>
    <cellStyle name="Tabelstandaard Totaal Negatief 2" xfId="117"/>
    <cellStyle name="Tabelstandaard Totaal Negatief 2 2" xfId="135"/>
    <cellStyle name="Tabelstandaard Totaal Negatief 2 2 2" xfId="144"/>
    <cellStyle name="Tabelstandaard Totaal Negatief 3" xfId="118"/>
    <cellStyle name="Tabelstandaard Totaal Negatief 3 2" xfId="136"/>
    <cellStyle name="Tabelstandaard Totaal Negatief 3 2 2" xfId="145"/>
    <cellStyle name="Tabelstandaard Totaal Negatief 4" xfId="119"/>
    <cellStyle name="Tabelstandaard Totaal Negatief 4 2" xfId="137"/>
    <cellStyle name="Tabelstandaard Totaal Negatief 4 2 2" xfId="146"/>
    <cellStyle name="Tabelstandaard Totaal Negatief 5" xfId="134"/>
    <cellStyle name="Tabelstandaard Totaal Negatief 5 2" xfId="143"/>
    <cellStyle name="Tabelstandaard Totaal_1077029755_GGZ-01c nacalculatieformulier ribw 2003 versie 040217(1)" xfId="120"/>
    <cellStyle name="Tabelstandaard_1077029755_GGZ-01c nacalculatieformulier ribw 2003 versie 040217(1)" xfId="121"/>
    <cellStyle name="Table  - Opmaakprofiel6" xfId="122"/>
    <cellStyle name="Table  - Opmaakprofiel6 2" xfId="138"/>
    <cellStyle name="Table  - Opmaakprofiel6 2 2" xfId="147"/>
    <cellStyle name="Title  - Opmaakprofiel1" xfId="123"/>
    <cellStyle name="Title 2" xfId="124"/>
    <cellStyle name="TotCol - Opmaakprofiel5" xfId="125"/>
    <cellStyle name="TotRow - Opmaakprofiel4" xfId="126"/>
    <cellStyle name="TotRow - Opmaakprofiel4 2" xfId="139"/>
    <cellStyle name="TotRow - Opmaakprofiel4 2 2" xfId="148"/>
    <cellStyle name="Valuta" xfId="1" builtinId="4"/>
    <cellStyle name="Valuta 2" xfId="127"/>
    <cellStyle name="Valuta 3" xfId="128"/>
    <cellStyle name="Valuta 4" xfId="129"/>
  </cellStyles>
  <dxfs count="130">
    <dxf>
      <font>
        <b/>
        <i val="0"/>
        <color rgb="FFFF0000"/>
      </font>
    </dxf>
    <dxf>
      <font>
        <b/>
        <i val="0"/>
        <color rgb="FFFF0000"/>
      </font>
    </dxf>
    <dxf>
      <font>
        <b/>
        <i val="0"/>
        <color rgb="FFCC0066"/>
      </font>
    </dxf>
    <dxf>
      <font>
        <color theme="0"/>
      </font>
    </dxf>
    <dxf>
      <font>
        <color theme="0" tint="-0.14996795556505021"/>
      </font>
    </dxf>
    <dxf>
      <font>
        <color theme="0"/>
      </font>
      <fill>
        <patternFill>
          <bgColor theme="0"/>
        </patternFill>
      </fill>
      <border>
        <left style="thin">
          <color theme="0"/>
        </left>
        <vertical/>
        <horizontal/>
      </border>
    </dxf>
    <dxf>
      <font>
        <color theme="0"/>
      </font>
      <fill>
        <patternFill>
          <bgColor theme="0"/>
        </patternFill>
      </fill>
      <border>
        <left style="thin">
          <color theme="0"/>
        </left>
        <vertical/>
        <horizontal/>
      </border>
    </dxf>
    <dxf>
      <font>
        <color theme="0"/>
      </font>
      <fill>
        <patternFill>
          <bgColor theme="0"/>
        </patternFill>
      </fill>
    </dxf>
    <dxf>
      <border>
        <left style="thin">
          <color theme="0"/>
        </left>
        <vertical/>
        <horizontal/>
      </border>
    </dxf>
    <dxf>
      <font>
        <color theme="0" tint="-0.14996795556505021"/>
      </font>
    </dxf>
    <dxf>
      <font>
        <color theme="0" tint="-0.14996795556505021"/>
      </font>
    </dxf>
    <dxf>
      <fill>
        <patternFill>
          <bgColor theme="0"/>
        </patternFill>
      </fill>
    </dxf>
    <dxf>
      <font>
        <color theme="0"/>
      </font>
    </dxf>
    <dxf>
      <font>
        <color theme="0"/>
      </font>
    </dxf>
    <dxf>
      <font>
        <b/>
        <i val="0"/>
        <color rgb="FFFF0000"/>
      </font>
    </dxf>
    <dxf>
      <font>
        <color theme="0"/>
      </font>
    </dxf>
    <dxf>
      <font>
        <color rgb="FFFF0000"/>
      </font>
      <fill>
        <patternFill>
          <bgColor theme="0" tint="-0.14996795556505021"/>
        </patternFill>
      </fill>
    </dxf>
    <dxf>
      <font>
        <color rgb="FFFF0000"/>
      </font>
      <fill>
        <patternFill>
          <fgColor auto="1"/>
        </patternFill>
      </fill>
    </dxf>
    <dxf>
      <font>
        <color rgb="FF2B413C"/>
      </font>
    </dxf>
    <dxf>
      <font>
        <color rgb="FF2B413C"/>
      </font>
    </dxf>
    <dxf>
      <font>
        <color theme="0"/>
      </font>
    </dxf>
    <dxf>
      <font>
        <color theme="0"/>
      </font>
    </dxf>
    <dxf>
      <font>
        <color theme="0"/>
      </font>
    </dxf>
    <dxf>
      <font>
        <color rgb="FF2B413C"/>
      </font>
    </dxf>
    <dxf>
      <font>
        <color rgb="FF2B413C"/>
      </font>
    </dxf>
    <dxf>
      <font>
        <color rgb="FFFF0000"/>
      </font>
    </dxf>
    <dxf>
      <font>
        <color rgb="FF2B413C"/>
      </font>
    </dxf>
    <dxf>
      <font>
        <color rgb="FF2B413C"/>
      </font>
    </dxf>
    <dxf>
      <font>
        <color rgb="FF2B413C"/>
      </font>
    </dxf>
    <dxf>
      <font>
        <color rgb="FF2B413C"/>
      </font>
    </dxf>
    <dxf>
      <font>
        <color rgb="FF2B413C"/>
      </font>
    </dxf>
    <dxf>
      <font>
        <color rgb="FF2B413C"/>
      </font>
    </dxf>
    <dxf>
      <font>
        <color theme="0"/>
      </font>
    </dxf>
    <dxf>
      <font>
        <color rgb="FFFF0000"/>
      </font>
    </dxf>
    <dxf>
      <font>
        <color rgb="FF2B413C"/>
      </font>
    </dxf>
    <dxf>
      <font>
        <color rgb="FF2B413C"/>
      </font>
    </dxf>
    <dxf>
      <font>
        <color rgb="FF2B413C"/>
      </font>
    </dxf>
    <dxf>
      <font>
        <color rgb="FF2B413C"/>
      </font>
    </dxf>
    <dxf>
      <font>
        <color theme="0"/>
      </font>
      <fill>
        <patternFill>
          <bgColor theme="0"/>
        </patternFill>
      </fill>
    </dxf>
    <dxf>
      <font>
        <color theme="3" tint="-0.24994659260841701"/>
      </font>
      <fill>
        <patternFill>
          <bgColor theme="0" tint="-0.14996795556505021"/>
        </patternFill>
      </fill>
    </dxf>
    <dxf>
      <font>
        <color theme="3" tint="-0.24994659260841701"/>
      </font>
      <fill>
        <patternFill>
          <bgColor theme="0" tint="-0.14996795556505021"/>
        </patternFill>
      </fill>
    </dxf>
    <dxf>
      <font>
        <color theme="3" tint="-0.24994659260841701"/>
      </font>
      <fill>
        <patternFill patternType="solid">
          <bgColor theme="0" tint="-0.14996795556505021"/>
        </patternFill>
      </fill>
    </dxf>
    <dxf>
      <font>
        <color theme="3" tint="-0.24994659260841701"/>
      </font>
      <fill>
        <patternFill>
          <bgColor theme="0" tint="-0.14996795556505021"/>
        </patternFill>
      </fill>
    </dxf>
    <dxf>
      <font>
        <color rgb="FF2B413C"/>
      </font>
    </dxf>
    <dxf>
      <font>
        <color rgb="FFFF0000"/>
      </font>
      <fill>
        <patternFill>
          <bgColor theme="0" tint="-0.14996795556505021"/>
        </patternFill>
      </fill>
    </dxf>
    <dxf>
      <font>
        <color theme="1"/>
      </font>
      <fill>
        <patternFill>
          <bgColor theme="0" tint="-0.14996795556505021"/>
        </patternFill>
      </fill>
    </dxf>
    <dxf>
      <font>
        <color rgb="FF2B413C"/>
      </font>
      <fill>
        <patternFill>
          <bgColor theme="0" tint="-0.14996795556505021"/>
        </patternFill>
      </fill>
    </dxf>
    <dxf>
      <font>
        <color rgb="FF2B413C"/>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3" tint="-0.24994659260841701"/>
      </font>
      <fill>
        <patternFill>
          <bgColor theme="0" tint="-0.14996795556505021"/>
        </patternFill>
      </fill>
    </dxf>
    <dxf>
      <font>
        <color rgb="FF2B413C"/>
      </font>
    </dxf>
    <dxf>
      <font>
        <color theme="0"/>
      </font>
      <fill>
        <patternFill>
          <bgColor theme="0"/>
        </patternFill>
      </fill>
    </dxf>
    <dxf>
      <font>
        <color theme="0" tint="-0.14996795556505021"/>
      </font>
    </dxf>
    <dxf>
      <font>
        <color theme="0" tint="-0.14996795556505021"/>
      </font>
    </dxf>
    <dxf>
      <font>
        <color theme="0" tint="-0.14996795556505021"/>
      </font>
    </dxf>
    <dxf>
      <fill>
        <patternFill>
          <bgColor theme="0"/>
        </patternFill>
      </fill>
    </dxf>
    <dxf>
      <font>
        <color theme="0"/>
      </font>
    </dxf>
    <dxf>
      <font>
        <color theme="0"/>
      </font>
    </dxf>
    <dxf>
      <font>
        <color theme="0"/>
      </font>
    </dxf>
    <dxf>
      <font>
        <color theme="0"/>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font>
    </dxf>
    <dxf>
      <font>
        <color theme="3" tint="-0.24994659260841701"/>
      </font>
    </dxf>
    <dxf>
      <font>
        <color theme="0"/>
      </font>
    </dxf>
    <dxf>
      <font>
        <color rgb="FFFF0000"/>
      </font>
    </dxf>
    <dxf>
      <font>
        <b/>
        <i val="0"/>
        <color rgb="FFCC0066"/>
      </font>
    </dxf>
    <dxf>
      <font>
        <color rgb="FFFF0000"/>
      </font>
    </dxf>
    <dxf>
      <font>
        <color rgb="FFFF0000"/>
      </font>
    </dxf>
    <dxf>
      <font>
        <color rgb="FFFF0000"/>
      </font>
    </dxf>
    <dxf>
      <font>
        <color rgb="FFFF0000"/>
      </font>
    </dxf>
    <dxf>
      <font>
        <color theme="0"/>
      </font>
    </dxf>
    <dxf>
      <font>
        <color theme="0"/>
      </font>
    </dxf>
    <dxf>
      <font>
        <color theme="0"/>
      </font>
    </dxf>
    <dxf>
      <font>
        <color rgb="FF2B413C"/>
      </font>
    </dxf>
    <dxf>
      <fill>
        <patternFill>
          <bgColor theme="0"/>
        </patternFill>
      </fill>
    </dxf>
    <dxf>
      <font>
        <color theme="0"/>
      </font>
    </dxf>
    <dxf>
      <font>
        <color rgb="FF2B413C"/>
      </font>
    </dxf>
    <dxf>
      <font>
        <color theme="3" tint="-0.24994659260841701"/>
      </font>
      <fill>
        <patternFill>
          <bgColor theme="0" tint="-0.14996795556505021"/>
        </patternFill>
      </fill>
    </dxf>
    <dxf>
      <font>
        <color theme="3" tint="-0.24994659260841701"/>
      </font>
      <fill>
        <patternFill>
          <bgColor theme="0" tint="-0.14996795556505021"/>
        </patternFill>
      </fill>
    </dxf>
    <dxf>
      <font>
        <color theme="3" tint="-0.24994659260841701"/>
      </font>
    </dxf>
  </dxfs>
  <tableStyles count="0" defaultTableStyle="TableStyleMedium2" defaultPivotStyle="PivotStyleLight16"/>
  <colors>
    <mruColors>
      <color rgb="FFF2951A"/>
      <color rgb="FF2B413C"/>
      <color rgb="FFCC0066"/>
      <color rgb="FFEB49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337A8.2750173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220792</xdr:colOff>
      <xdr:row>0</xdr:row>
      <xdr:rowOff>40820</xdr:rowOff>
    </xdr:from>
    <xdr:to>
      <xdr:col>17</xdr:col>
      <xdr:colOff>1839660</xdr:colOff>
      <xdr:row>6</xdr:row>
      <xdr:rowOff>217714</xdr:rowOff>
    </xdr:to>
    <xdr:pic>
      <xdr:nvPicPr>
        <xdr:cNvPr id="6" name="Afbeelding 1" descr="cid:B5E662B1-0350-4443-93C9-2A3BC818A93E@dynamic.ziggo.nl">
          <a:extLst>
            <a:ext uri="{FF2B5EF4-FFF2-40B4-BE49-F238E27FC236}">
              <a16:creationId xmlns:a16="http://schemas.microsoft.com/office/drawing/2014/main" xmlns="" id="{00000000-0008-0000-0200-000006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132086" y="40820"/>
          <a:ext cx="3195162" cy="16187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485775</xdr:colOff>
      <xdr:row>11</xdr:row>
      <xdr:rowOff>85725</xdr:rowOff>
    </xdr:from>
    <xdr:ext cx="1695450" cy="1992630"/>
    <xdr:sp macro="" textlink="">
      <xdr:nvSpPr>
        <xdr:cNvPr id="2" name="Tekstvak 2">
          <a:extLst>
            <a:ext uri="{FF2B5EF4-FFF2-40B4-BE49-F238E27FC236}">
              <a16:creationId xmlns:a16="http://schemas.microsoft.com/office/drawing/2014/main" xmlns="" id="{00000000-0008-0000-0900-000002000000}"/>
            </a:ext>
          </a:extLst>
        </xdr:cNvPr>
        <xdr:cNvSpPr txBox="1">
          <a:spLocks noChangeArrowheads="1"/>
        </xdr:cNvSpPr>
      </xdr:nvSpPr>
      <xdr:spPr bwMode="auto">
        <a:xfrm>
          <a:off x="9629775" y="2286000"/>
          <a:ext cx="1695450" cy="199263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nSpc>
              <a:spcPct val="115000"/>
            </a:lnSpc>
            <a:spcAft>
              <a:spcPts val="1000"/>
            </a:spcAft>
          </a:pPr>
          <a:r>
            <a:rPr lang="nl-NL" sz="1100">
              <a:effectLst/>
              <a:latin typeface="Calibri"/>
              <a:ea typeface="Calibri"/>
              <a:cs typeface="Times New Roman"/>
            </a:rPr>
            <a:t>LET OP:</a:t>
          </a:r>
          <a:br>
            <a:rPr lang="nl-NL" sz="1100">
              <a:effectLst/>
              <a:latin typeface="Calibri"/>
              <a:ea typeface="Calibri"/>
              <a:cs typeface="Times New Roman"/>
            </a:rPr>
          </a:br>
          <a:r>
            <a:rPr lang="nl-NL" sz="1100">
              <a:effectLst/>
              <a:latin typeface="Calibri"/>
              <a:ea typeface="Calibri"/>
              <a:cs typeface="Times New Roman"/>
            </a:rPr>
            <a:t>Deze tarieven gelden voor lopende indicaties.</a:t>
          </a:r>
          <a:br>
            <a:rPr lang="nl-NL" sz="1100">
              <a:effectLst/>
              <a:latin typeface="Calibri"/>
              <a:ea typeface="Calibri"/>
              <a:cs typeface="Times New Roman"/>
            </a:rPr>
          </a:br>
          <a:r>
            <a:rPr lang="nl-NL" sz="1100">
              <a:effectLst/>
              <a:latin typeface="Calibri"/>
              <a:ea typeface="Calibri"/>
              <a:cs typeface="Times New Roman"/>
            </a:rPr>
            <a:t>Het is bij een eerste aanvraag niet langer mogelijk te kiezen voor een pgb bij een indicatie in een ggz-b zzp (met behandeling).</a:t>
          </a:r>
        </a:p>
      </xdr:txBody>
    </xdr:sp>
    <xdr:clientData/>
  </xdr:oneCellAnchor>
  <xdr:oneCellAnchor>
    <xdr:from>
      <xdr:col>13</xdr:col>
      <xdr:colOff>533400</xdr:colOff>
      <xdr:row>26</xdr:row>
      <xdr:rowOff>123825</xdr:rowOff>
    </xdr:from>
    <xdr:ext cx="676275" cy="904875"/>
    <xdr:sp macro="" textlink="">
      <xdr:nvSpPr>
        <xdr:cNvPr id="3" name="Tekstvak 2">
          <a:extLst>
            <a:ext uri="{FF2B5EF4-FFF2-40B4-BE49-F238E27FC236}">
              <a16:creationId xmlns:a16="http://schemas.microsoft.com/office/drawing/2014/main" xmlns="" id="{00000000-0008-0000-0900-000003000000}"/>
            </a:ext>
          </a:extLst>
        </xdr:cNvPr>
        <xdr:cNvSpPr txBox="1">
          <a:spLocks noChangeArrowheads="1"/>
        </xdr:cNvSpPr>
      </xdr:nvSpPr>
      <xdr:spPr bwMode="auto">
        <a:xfrm flipH="1">
          <a:off x="11506200" y="5324475"/>
          <a:ext cx="676275" cy="90487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nSpc>
              <a:spcPct val="115000"/>
            </a:lnSpc>
            <a:spcAft>
              <a:spcPts val="1000"/>
            </a:spcAft>
          </a:pPr>
          <a:r>
            <a:rPr lang="nl-NL" sz="1100">
              <a:effectLst/>
              <a:latin typeface="Calibri"/>
              <a:ea typeface="Calibri"/>
              <a:cs typeface="Times New Roman"/>
            </a:rPr>
            <a:t>LET OP:</a:t>
          </a:r>
          <a:br>
            <a:rPr lang="nl-NL" sz="1100">
              <a:effectLst/>
              <a:latin typeface="Calibri"/>
              <a:ea typeface="Calibri"/>
              <a:cs typeface="Times New Roman"/>
            </a:rPr>
          </a:br>
          <a:r>
            <a:rPr lang="nl-NL" sz="1100">
              <a:effectLst/>
              <a:latin typeface="Calibri"/>
              <a:ea typeface="Calibri"/>
              <a:cs typeface="Times New Roman"/>
            </a:rPr>
            <a:t>Deze tarieven gelden voor lopende indicaties.</a:t>
          </a:r>
          <a:br>
            <a:rPr lang="nl-NL" sz="1100">
              <a:effectLst/>
              <a:latin typeface="Calibri"/>
              <a:ea typeface="Calibri"/>
              <a:cs typeface="Times New Roman"/>
            </a:rPr>
          </a:br>
          <a:r>
            <a:rPr lang="nl-NL" sz="1100">
              <a:effectLst/>
              <a:latin typeface="Calibri"/>
              <a:ea typeface="Calibri"/>
              <a:cs typeface="Times New Roman"/>
            </a:rPr>
            <a:t>Het is bij een eerste aanvraag niet langer mogelijk te kiezen voor een pgb bij een indicatie in zzp’s LVG 3, 4 en 5 en de zzp’s SGLVG.</a:t>
          </a:r>
          <a:r>
            <a:rPr lang="nl-NL" sz="900">
              <a:effectLst/>
              <a:latin typeface="TheSans-Plain"/>
              <a:ea typeface="Calibri"/>
              <a:cs typeface="TheSans-Plain"/>
            </a:rPr>
            <a:t> </a:t>
          </a:r>
          <a:endParaRPr lang="nl-NL" sz="1100">
            <a:effectLst/>
            <a:latin typeface="Calibri"/>
            <a:ea typeface="Calibri"/>
            <a:cs typeface="Times New Roman"/>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17</xdr:col>
      <xdr:colOff>485775</xdr:colOff>
      <xdr:row>9</xdr:row>
      <xdr:rowOff>85725</xdr:rowOff>
    </xdr:from>
    <xdr:ext cx="1695450" cy="1992630"/>
    <xdr:sp macro="" textlink="">
      <xdr:nvSpPr>
        <xdr:cNvPr id="2" name="Tekstvak 2">
          <a:extLst>
            <a:ext uri="{FF2B5EF4-FFF2-40B4-BE49-F238E27FC236}">
              <a16:creationId xmlns:a16="http://schemas.microsoft.com/office/drawing/2014/main" xmlns="" id="{00000000-0008-0000-0B00-000002000000}"/>
            </a:ext>
          </a:extLst>
        </xdr:cNvPr>
        <xdr:cNvSpPr txBox="1">
          <a:spLocks noChangeArrowheads="1"/>
        </xdr:cNvSpPr>
      </xdr:nvSpPr>
      <xdr:spPr bwMode="auto">
        <a:xfrm>
          <a:off x="10848975" y="2286000"/>
          <a:ext cx="1695450" cy="199263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nSpc>
              <a:spcPct val="115000"/>
            </a:lnSpc>
            <a:spcAft>
              <a:spcPts val="1000"/>
            </a:spcAft>
          </a:pPr>
          <a:r>
            <a:rPr lang="nl-NL" sz="1100">
              <a:effectLst/>
              <a:latin typeface="Calibri"/>
              <a:ea typeface="Calibri"/>
              <a:cs typeface="Times New Roman"/>
            </a:rPr>
            <a:t>LET OP:</a:t>
          </a:r>
          <a:br>
            <a:rPr lang="nl-NL" sz="1100">
              <a:effectLst/>
              <a:latin typeface="Calibri"/>
              <a:ea typeface="Calibri"/>
              <a:cs typeface="Times New Roman"/>
            </a:rPr>
          </a:br>
          <a:r>
            <a:rPr lang="nl-NL" sz="1100">
              <a:effectLst/>
              <a:latin typeface="Calibri"/>
              <a:ea typeface="Calibri"/>
              <a:cs typeface="Times New Roman"/>
            </a:rPr>
            <a:t>Deze tarieven gelden voor lopende indicaties.</a:t>
          </a:r>
          <a:br>
            <a:rPr lang="nl-NL" sz="1100">
              <a:effectLst/>
              <a:latin typeface="Calibri"/>
              <a:ea typeface="Calibri"/>
              <a:cs typeface="Times New Roman"/>
            </a:rPr>
          </a:br>
          <a:r>
            <a:rPr lang="nl-NL" sz="1100">
              <a:effectLst/>
              <a:latin typeface="Calibri"/>
              <a:ea typeface="Calibri"/>
              <a:cs typeface="Times New Roman"/>
            </a:rPr>
            <a:t>Het is bij een eerste aanvraag niet langer mogelijk te kiezen voor een pgb bij een indicatie in een ggz-b zzp (met behandeling).</a:t>
          </a:r>
        </a:p>
      </xdr:txBody>
    </xdr:sp>
    <xdr:clientData/>
  </xdr:oneCellAnchor>
  <xdr:oneCellAnchor>
    <xdr:from>
      <xdr:col>18</xdr:col>
      <xdr:colOff>533400</xdr:colOff>
      <xdr:row>24</xdr:row>
      <xdr:rowOff>123825</xdr:rowOff>
    </xdr:from>
    <xdr:ext cx="676275" cy="904875"/>
    <xdr:sp macro="" textlink="">
      <xdr:nvSpPr>
        <xdr:cNvPr id="3" name="Tekstvak 2">
          <a:extLst>
            <a:ext uri="{FF2B5EF4-FFF2-40B4-BE49-F238E27FC236}">
              <a16:creationId xmlns:a16="http://schemas.microsoft.com/office/drawing/2014/main" xmlns="" id="{00000000-0008-0000-0B00-000003000000}"/>
            </a:ext>
          </a:extLst>
        </xdr:cNvPr>
        <xdr:cNvSpPr txBox="1">
          <a:spLocks noChangeArrowheads="1"/>
        </xdr:cNvSpPr>
      </xdr:nvSpPr>
      <xdr:spPr bwMode="auto">
        <a:xfrm flipH="1">
          <a:off x="11506200" y="5324475"/>
          <a:ext cx="676275" cy="90487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nSpc>
              <a:spcPct val="115000"/>
            </a:lnSpc>
            <a:spcAft>
              <a:spcPts val="1000"/>
            </a:spcAft>
          </a:pPr>
          <a:r>
            <a:rPr lang="nl-NL" sz="1100">
              <a:effectLst/>
              <a:latin typeface="Calibri"/>
              <a:ea typeface="Calibri"/>
              <a:cs typeface="Times New Roman"/>
            </a:rPr>
            <a:t>LET OP:</a:t>
          </a:r>
          <a:br>
            <a:rPr lang="nl-NL" sz="1100">
              <a:effectLst/>
              <a:latin typeface="Calibri"/>
              <a:ea typeface="Calibri"/>
              <a:cs typeface="Times New Roman"/>
            </a:rPr>
          </a:br>
          <a:r>
            <a:rPr lang="nl-NL" sz="1100">
              <a:effectLst/>
              <a:latin typeface="Calibri"/>
              <a:ea typeface="Calibri"/>
              <a:cs typeface="Times New Roman"/>
            </a:rPr>
            <a:t>Deze tarieven gelden voor lopende indicaties.</a:t>
          </a:r>
          <a:br>
            <a:rPr lang="nl-NL" sz="1100">
              <a:effectLst/>
              <a:latin typeface="Calibri"/>
              <a:ea typeface="Calibri"/>
              <a:cs typeface="Times New Roman"/>
            </a:rPr>
          </a:br>
          <a:r>
            <a:rPr lang="nl-NL" sz="1100">
              <a:effectLst/>
              <a:latin typeface="Calibri"/>
              <a:ea typeface="Calibri"/>
              <a:cs typeface="Times New Roman"/>
            </a:rPr>
            <a:t>Het is bij een eerste aanvraag niet langer mogelijk te kiezen voor een pgb bij een indicatie in zzp’s LVG 3, 4 en 5 en de zzp’s SGLVG.</a:t>
          </a:r>
          <a:r>
            <a:rPr lang="nl-NL" sz="900">
              <a:effectLst/>
              <a:latin typeface="TheSans-Plain"/>
              <a:ea typeface="Calibri"/>
              <a:cs typeface="TheSans-Plain"/>
            </a:rPr>
            <a:t> </a:t>
          </a:r>
          <a:endParaRPr lang="nl-NL" sz="1100">
            <a:effectLst/>
            <a:latin typeface="Calibri"/>
            <a:ea typeface="Calibri"/>
            <a:cs typeface="Times New Roman"/>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TempOutlook\Adviesformulier%20en%20rekenmodule%202017%20versie%2019%20januari%202017%20DEFINIIE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menziszorgkantoor.nl/Users/triggr/AppData/Local/Microsoft/Windows/Temporary%20Internet%20Files/Content.Outlook/2TL1XRK6/Adviesformulier%20en%20rekenmodule%20meerzorg%20zonder%20macro%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iesformulier V&amp;V of LG"/>
      <sheetName val="Adviesformulier VG"/>
      <sheetName val="Rekenblad"/>
      <sheetName val="Lijst codes"/>
      <sheetName val="koppel ZZP budget"/>
      <sheetName val="Alles"/>
      <sheetName val="VPT"/>
      <sheetName val="ZZP"/>
      <sheetName val="VPT en ZZP"/>
      <sheetName val="PGB Bron"/>
      <sheetName val="PGB (2)"/>
      <sheetName val="Blad3"/>
      <sheetName val="Blad4"/>
      <sheetName val="Blad6"/>
      <sheetName val="Blad5"/>
      <sheetName val="Blad1"/>
      <sheetName val="Blad9"/>
      <sheetName val="Werkwijze rekenmodule"/>
      <sheetName val="Blad2"/>
      <sheetName val="Blad7"/>
      <sheetName val="Blad8"/>
      <sheetName val="Meerzorg onderbouwing"/>
      <sheetName val="PGB tarieven"/>
      <sheetName val="Tarieven ZIN prestaties"/>
      <sheetName val="Blad12"/>
      <sheetName val="Blad11"/>
      <sheetName val="Urentabel meerzo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iesformulier"/>
      <sheetName val="Rekenblad"/>
      <sheetName val="Lijst codes"/>
      <sheetName val="koppel ZZP budget"/>
      <sheetName val="Alles"/>
      <sheetName val="VPT"/>
      <sheetName val="ZZP"/>
      <sheetName val="VPT en ZZP"/>
      <sheetName val="PGB Bron"/>
      <sheetName val="PGB (2)"/>
      <sheetName val="Blad3"/>
      <sheetName val="Blad4"/>
      <sheetName val="Blad6"/>
      <sheetName val="Blad5"/>
      <sheetName val="Blad1"/>
      <sheetName val="Blad9"/>
      <sheetName val="Blad2"/>
      <sheetName val="Blad7"/>
      <sheetName val="Blad8"/>
      <sheetName val="Meerzorg onderbouwing"/>
      <sheetName val="Werkwijze rekenmodule"/>
      <sheetName val="Urentabel meerzorg"/>
    </sheetNames>
    <sheetDataSet>
      <sheetData sheetId="0"/>
      <sheetData sheetId="1">
        <row r="21">
          <cell r="P21" t="str">
            <v>Ja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1">
    <tabColor rgb="FFCC0066"/>
  </sheetPr>
  <dimension ref="A1:W232"/>
  <sheetViews>
    <sheetView zoomScale="130" zoomScaleNormal="130" workbookViewId="0">
      <selection activeCell="F5" sqref="F5:K5"/>
    </sheetView>
  </sheetViews>
  <sheetFormatPr defaultColWidth="0" defaultRowHeight="14.4" zeroHeight="1" x14ac:dyDescent="0.3"/>
  <cols>
    <col min="1" max="1" width="4.6640625" style="46" customWidth="1"/>
    <col min="2" max="2" width="4" style="46" customWidth="1"/>
    <col min="3" max="3" width="1.33203125" style="46" customWidth="1"/>
    <col min="4" max="4" width="3.88671875" style="46" customWidth="1"/>
    <col min="5" max="5" width="1.33203125" style="46" customWidth="1"/>
    <col min="6" max="6" width="9.33203125" style="46" customWidth="1"/>
    <col min="7" max="7" width="3.33203125" style="46" customWidth="1"/>
    <col min="8" max="8" width="14.33203125" style="46" customWidth="1"/>
    <col min="9" max="9" width="9.33203125" style="46" customWidth="1"/>
    <col min="10" max="10" width="7.44140625" style="46" customWidth="1"/>
    <col min="11" max="11" width="11.44140625" style="46" customWidth="1"/>
    <col min="12" max="12" width="5.44140625" style="46" customWidth="1"/>
    <col min="13" max="13" width="15.33203125" style="46" customWidth="1"/>
    <col min="14" max="16384" width="9.33203125" style="46" hidden="1"/>
  </cols>
  <sheetData>
    <row r="1" spans="1:23" ht="26.25" x14ac:dyDescent="0.4">
      <c r="A1" s="443" t="s">
        <v>3512</v>
      </c>
      <c r="B1" s="444"/>
      <c r="C1" s="444"/>
      <c r="D1" s="444"/>
      <c r="E1" s="444"/>
      <c r="F1" s="444"/>
      <c r="G1" s="444"/>
      <c r="H1" s="444"/>
      <c r="I1" s="444"/>
      <c r="J1" s="444"/>
      <c r="K1" s="444"/>
      <c r="L1" s="444"/>
      <c r="M1" s="445"/>
    </row>
    <row r="2" spans="1:23" ht="15" customHeight="1" x14ac:dyDescent="0.4">
      <c r="A2" s="47"/>
      <c r="B2" s="48"/>
      <c r="C2" s="48"/>
      <c r="D2" s="48"/>
      <c r="E2" s="48"/>
      <c r="F2" s="48"/>
      <c r="G2" s="48"/>
      <c r="H2" s="48"/>
      <c r="I2" s="48"/>
      <c r="J2" s="48"/>
      <c r="K2" s="446" t="s">
        <v>3545</v>
      </c>
      <c r="L2" s="447"/>
      <c r="M2" s="55"/>
    </row>
    <row r="3" spans="1:23" ht="26.25" customHeight="1" x14ac:dyDescent="0.25">
      <c r="A3" s="435" t="s">
        <v>3513</v>
      </c>
      <c r="B3" s="440"/>
      <c r="C3" s="440"/>
      <c r="D3" s="440"/>
      <c r="E3" s="440"/>
      <c r="F3" s="440"/>
      <c r="G3" s="440"/>
      <c r="H3" s="440"/>
      <c r="I3" s="440"/>
      <c r="J3" s="440"/>
      <c r="K3" s="440"/>
      <c r="L3" s="440"/>
      <c r="M3" s="436"/>
      <c r="O3" s="404" t="s">
        <v>3530</v>
      </c>
      <c r="Q3" s="58"/>
      <c r="R3" s="59"/>
      <c r="S3" s="59"/>
      <c r="T3" s="59"/>
      <c r="U3" s="59"/>
    </row>
    <row r="4" spans="1:23" s="404" customFormat="1" ht="27.75" customHeight="1" x14ac:dyDescent="0.25">
      <c r="A4" s="402" t="s">
        <v>1717</v>
      </c>
      <c r="B4" s="403"/>
      <c r="C4" s="403"/>
      <c r="D4" s="403"/>
      <c r="E4" s="403"/>
      <c r="F4" s="403"/>
      <c r="G4" s="403"/>
      <c r="H4" s="403"/>
      <c r="I4" s="403"/>
      <c r="J4" s="403"/>
      <c r="K4" s="403"/>
      <c r="L4" s="403"/>
      <c r="M4" s="403"/>
      <c r="O4" s="404" t="s">
        <v>3535</v>
      </c>
    </row>
    <row r="5" spans="1:23" ht="17.25" customHeight="1" x14ac:dyDescent="0.3">
      <c r="A5" s="435" t="s">
        <v>1718</v>
      </c>
      <c r="B5" s="436"/>
      <c r="C5" s="436"/>
      <c r="D5" s="436"/>
      <c r="E5" s="55"/>
      <c r="F5" s="441" t="s">
        <v>1727</v>
      </c>
      <c r="G5" s="441"/>
      <c r="H5" s="442"/>
      <c r="I5" s="442"/>
      <c r="J5" s="442"/>
      <c r="K5" s="442"/>
      <c r="L5" s="56"/>
      <c r="M5" s="50"/>
      <c r="O5" s="46" t="s">
        <v>3531</v>
      </c>
      <c r="W5" s="46">
        <f>IF(F5="Klik hier om een tekst in te voeren",1,2)</f>
        <v>2</v>
      </c>
    </row>
    <row r="6" spans="1:23" ht="17.25" customHeight="1" x14ac:dyDescent="0.25">
      <c r="A6" s="435" t="s">
        <v>1719</v>
      </c>
      <c r="B6" s="436"/>
      <c r="C6" s="436"/>
      <c r="D6" s="436"/>
      <c r="E6" s="55"/>
      <c r="F6" s="437" t="s">
        <v>1727</v>
      </c>
      <c r="G6" s="437"/>
      <c r="H6" s="438"/>
      <c r="I6" s="438"/>
      <c r="J6" s="438"/>
      <c r="K6" s="438"/>
      <c r="L6" s="398"/>
      <c r="M6" s="50"/>
      <c r="O6" s="46" t="s">
        <v>3534</v>
      </c>
    </row>
    <row r="7" spans="1:23" s="413" customFormat="1" ht="17.25" customHeight="1" x14ac:dyDescent="0.25">
      <c r="A7" s="435" t="s">
        <v>3529</v>
      </c>
      <c r="B7" s="448"/>
      <c r="C7" s="448"/>
      <c r="D7" s="448"/>
      <c r="E7" s="415"/>
      <c r="F7" s="437" t="s">
        <v>3536</v>
      </c>
      <c r="G7" s="451"/>
      <c r="H7" s="451"/>
      <c r="I7" s="451"/>
      <c r="J7" s="451"/>
      <c r="K7" s="451"/>
      <c r="L7" s="416"/>
      <c r="M7" s="414"/>
      <c r="O7" s="413" t="s">
        <v>3532</v>
      </c>
    </row>
    <row r="8" spans="1:23" ht="17.25" customHeight="1" x14ac:dyDescent="0.25">
      <c r="L8" s="56"/>
      <c r="M8" s="50"/>
      <c r="O8" s="413" t="s">
        <v>3533</v>
      </c>
    </row>
    <row r="9" spans="1:23" s="404" customFormat="1" ht="27.75" customHeight="1" x14ac:dyDescent="0.25">
      <c r="A9" s="402" t="s">
        <v>3514</v>
      </c>
      <c r="B9" s="403"/>
      <c r="C9" s="403"/>
      <c r="D9" s="403"/>
      <c r="E9" s="403"/>
      <c r="F9" s="403"/>
      <c r="G9" s="403"/>
      <c r="H9" s="403"/>
      <c r="I9" s="403"/>
      <c r="J9" s="403"/>
      <c r="K9" s="403"/>
      <c r="L9" s="403"/>
      <c r="M9" s="403"/>
    </row>
    <row r="10" spans="1:23" ht="15" x14ac:dyDescent="0.25">
      <c r="A10" s="439" t="s">
        <v>1699</v>
      </c>
      <c r="B10" s="440"/>
      <c r="C10" s="440"/>
      <c r="D10" s="440"/>
      <c r="E10" s="440"/>
      <c r="F10" s="440"/>
      <c r="G10" s="436"/>
      <c r="H10" s="441" t="s">
        <v>1726</v>
      </c>
      <c r="I10" s="442"/>
      <c r="J10" s="442"/>
      <c r="K10" s="442"/>
      <c r="L10" s="442"/>
      <c r="M10" s="50"/>
    </row>
    <row r="11" spans="1:23" ht="15" x14ac:dyDescent="0.25">
      <c r="A11" s="440" t="s">
        <v>1700</v>
      </c>
      <c r="B11" s="440"/>
      <c r="C11" s="440"/>
      <c r="D11" s="440"/>
      <c r="E11" s="440"/>
      <c r="F11" s="440"/>
      <c r="G11" s="436"/>
      <c r="H11" s="437" t="s">
        <v>1726</v>
      </c>
      <c r="I11" s="438"/>
      <c r="J11" s="438"/>
      <c r="K11" s="438"/>
      <c r="L11" s="438"/>
      <c r="M11" s="50"/>
    </row>
    <row r="12" spans="1:23" ht="15" x14ac:dyDescent="0.25">
      <c r="A12" s="440" t="s">
        <v>1701</v>
      </c>
      <c r="B12" s="440"/>
      <c r="C12" s="440"/>
      <c r="D12" s="440"/>
      <c r="E12" s="440"/>
      <c r="F12" s="440"/>
      <c r="G12" s="436"/>
      <c r="H12" s="437" t="s">
        <v>1726</v>
      </c>
      <c r="I12" s="438"/>
      <c r="J12" s="438"/>
      <c r="K12" s="438"/>
      <c r="L12" s="438"/>
      <c r="M12" s="50"/>
    </row>
    <row r="13" spans="1:23" ht="15" x14ac:dyDescent="0.25">
      <c r="A13" s="440" t="s">
        <v>1773</v>
      </c>
      <c r="B13" s="440"/>
      <c r="C13" s="440"/>
      <c r="D13" s="440"/>
      <c r="E13" s="440"/>
      <c r="F13" s="440"/>
      <c r="G13" s="436"/>
      <c r="H13" s="441" t="s">
        <v>1726</v>
      </c>
      <c r="I13" s="442"/>
      <c r="J13" s="442"/>
      <c r="K13" s="442"/>
      <c r="L13" s="442"/>
      <c r="M13" s="50"/>
    </row>
    <row r="14" spans="1:23" ht="15" x14ac:dyDescent="0.25"/>
    <row r="15" spans="1:23" ht="27.75" customHeight="1" x14ac:dyDescent="0.25">
      <c r="A15" s="405" t="s">
        <v>1702</v>
      </c>
      <c r="B15" s="49"/>
      <c r="C15" s="49"/>
      <c r="D15" s="49"/>
      <c r="E15" s="49"/>
      <c r="F15" s="49"/>
      <c r="G15" s="49"/>
      <c r="H15" s="49"/>
      <c r="I15" s="49"/>
      <c r="J15" s="49"/>
      <c r="K15" s="49"/>
      <c r="L15" s="49"/>
      <c r="M15" s="49"/>
    </row>
    <row r="16" spans="1:23" x14ac:dyDescent="0.3">
      <c r="A16" s="53" t="s">
        <v>1694</v>
      </c>
      <c r="B16" s="53" t="s">
        <v>1774</v>
      </c>
      <c r="C16" s="53"/>
      <c r="D16" s="50"/>
      <c r="E16" s="50"/>
      <c r="F16" s="50"/>
      <c r="G16" s="50"/>
      <c r="H16" s="50"/>
      <c r="I16" s="50"/>
      <c r="J16" s="50"/>
      <c r="K16" s="50"/>
      <c r="L16" s="50"/>
      <c r="M16" s="50"/>
    </row>
    <row r="17" spans="1:18" x14ac:dyDescent="0.3">
      <c r="A17" s="50"/>
      <c r="B17" s="44"/>
      <c r="C17" s="45"/>
      <c r="D17" s="50" t="s">
        <v>3515</v>
      </c>
      <c r="E17" s="50"/>
      <c r="F17" s="50"/>
      <c r="G17" s="50"/>
      <c r="H17" s="50"/>
      <c r="I17" s="50"/>
      <c r="J17" s="50"/>
      <c r="K17" s="50"/>
      <c r="L17" s="50"/>
      <c r="M17" s="50"/>
      <c r="O17" s="46">
        <f>IF(B17="x",1,0)</f>
        <v>0</v>
      </c>
    </row>
    <row r="18" spans="1:18" x14ac:dyDescent="0.3">
      <c r="A18" s="50"/>
      <c r="B18" s="44"/>
      <c r="C18" s="50"/>
      <c r="D18" s="50" t="s">
        <v>3516</v>
      </c>
      <c r="E18" s="50"/>
      <c r="F18" s="50"/>
      <c r="G18" s="50"/>
      <c r="H18" s="50"/>
      <c r="I18" s="50"/>
      <c r="J18" s="50"/>
      <c r="K18" s="50"/>
      <c r="L18" s="50"/>
      <c r="M18" s="50"/>
      <c r="O18" s="46">
        <f>IF(B18="x",1,0)</f>
        <v>0</v>
      </c>
      <c r="Q18" s="46">
        <f>SUM(O17:O21)</f>
        <v>0</v>
      </c>
      <c r="R18" s="46" t="str">
        <f>IF(Q18=0,"X","")</f>
        <v>X</v>
      </c>
    </row>
    <row r="19" spans="1:18" x14ac:dyDescent="0.3">
      <c r="A19" s="50"/>
      <c r="B19" s="44"/>
      <c r="C19" s="50"/>
      <c r="D19" s="50" t="s">
        <v>1775</v>
      </c>
      <c r="E19" s="50"/>
      <c r="F19" s="50"/>
      <c r="G19" s="50"/>
      <c r="H19" s="50"/>
      <c r="I19" s="50"/>
      <c r="J19" s="50"/>
      <c r="K19" s="50"/>
      <c r="L19" s="50"/>
      <c r="M19" s="50"/>
      <c r="O19" s="46">
        <f>IF(B19="x",1,0)</f>
        <v>0</v>
      </c>
    </row>
    <row r="20" spans="1:18" x14ac:dyDescent="0.3">
      <c r="A20" s="50"/>
      <c r="B20" s="44"/>
      <c r="C20" s="50"/>
      <c r="D20" s="50" t="s">
        <v>1776</v>
      </c>
      <c r="E20" s="50"/>
      <c r="F20" s="50"/>
      <c r="G20" s="50"/>
      <c r="H20" s="50"/>
      <c r="I20" s="50"/>
      <c r="J20" s="50"/>
      <c r="K20" s="50"/>
      <c r="L20" s="50"/>
      <c r="M20" s="50"/>
      <c r="O20" s="46">
        <f>IF(B20="x",1,0)</f>
        <v>0</v>
      </c>
    </row>
    <row r="21" spans="1:18" ht="15" customHeight="1" x14ac:dyDescent="0.3">
      <c r="A21" s="57"/>
      <c r="B21" s="410"/>
      <c r="C21" s="54"/>
      <c r="D21" s="435" t="s">
        <v>3538</v>
      </c>
      <c r="E21" s="452"/>
      <c r="F21" s="452"/>
      <c r="G21" s="452"/>
      <c r="H21" s="452"/>
      <c r="I21" s="452"/>
      <c r="J21" s="452"/>
      <c r="K21" s="452"/>
      <c r="L21" s="452"/>
      <c r="M21" s="55"/>
      <c r="O21" s="46">
        <f>IF(B21="x",1,0)</f>
        <v>0</v>
      </c>
    </row>
    <row r="22" spans="1:18" ht="12" customHeight="1" x14ac:dyDescent="0.3">
      <c r="A22" s="400"/>
      <c r="B22" s="407"/>
      <c r="C22" s="397"/>
      <c r="D22" s="397"/>
      <c r="E22" s="401"/>
      <c r="F22" s="401"/>
      <c r="G22" s="401"/>
      <c r="H22" s="401"/>
      <c r="I22" s="401"/>
      <c r="J22" s="401"/>
      <c r="K22" s="401"/>
      <c r="L22" s="397"/>
      <c r="M22" s="399"/>
    </row>
    <row r="23" spans="1:18" ht="12" customHeight="1" x14ac:dyDescent="0.3">
      <c r="A23" s="453" t="s">
        <v>3518</v>
      </c>
      <c r="B23" s="448"/>
      <c r="C23" s="448"/>
      <c r="D23" s="448"/>
      <c r="E23" s="448"/>
      <c r="F23" s="448"/>
      <c r="G23" s="448"/>
      <c r="H23" s="448"/>
      <c r="I23" s="448"/>
      <c r="J23" s="448"/>
      <c r="K23" s="448"/>
      <c r="L23" s="448"/>
      <c r="M23" s="448"/>
    </row>
    <row r="24" spans="1:18" ht="12" customHeight="1" x14ac:dyDescent="0.3"/>
    <row r="25" spans="1:18" ht="29.25" customHeight="1" x14ac:dyDescent="0.3">
      <c r="A25" s="51" t="s">
        <v>1703</v>
      </c>
      <c r="B25" s="449" t="s">
        <v>3519</v>
      </c>
      <c r="C25" s="449"/>
      <c r="D25" s="449"/>
      <c r="E25" s="449"/>
      <c r="F25" s="449"/>
      <c r="G25" s="449"/>
      <c r="H25" s="449"/>
      <c r="I25" s="449"/>
      <c r="J25" s="449"/>
      <c r="K25" s="449"/>
      <c r="L25" s="449"/>
      <c r="M25" s="448"/>
    </row>
    <row r="26" spans="1:18" x14ac:dyDescent="0.3">
      <c r="A26" s="50"/>
      <c r="B26" s="44"/>
      <c r="C26" s="50"/>
      <c r="D26" s="406" t="s">
        <v>3517</v>
      </c>
      <c r="E26" s="50"/>
      <c r="F26" s="50"/>
      <c r="G26" s="50"/>
      <c r="H26" s="50"/>
      <c r="I26" s="50"/>
      <c r="J26" s="50"/>
      <c r="K26" s="50"/>
      <c r="L26" s="50"/>
      <c r="M26" s="50"/>
      <c r="O26" s="46">
        <f>IF(B26="x",1,0)</f>
        <v>0</v>
      </c>
      <c r="Q26" s="46">
        <f>SUM(O25:O28)</f>
        <v>0</v>
      </c>
      <c r="R26" s="46" t="str">
        <f>IF(Q26=0,"X","")</f>
        <v>X</v>
      </c>
    </row>
    <row r="27" spans="1:18" x14ac:dyDescent="0.3">
      <c r="A27" s="50"/>
      <c r="B27" s="44"/>
      <c r="C27" s="50"/>
      <c r="D27" s="50" t="s">
        <v>1704</v>
      </c>
      <c r="E27" s="50"/>
      <c r="F27" s="50"/>
      <c r="G27" s="50"/>
      <c r="H27" s="50"/>
      <c r="I27" s="50"/>
      <c r="J27" s="50"/>
      <c r="K27" s="50"/>
      <c r="L27" s="50"/>
      <c r="M27" s="50"/>
      <c r="O27" s="46">
        <f>IF(B27="x",1,0)</f>
        <v>0</v>
      </c>
    </row>
    <row r="28" spans="1:18" x14ac:dyDescent="0.3">
      <c r="A28" s="50"/>
      <c r="B28" s="44"/>
      <c r="C28" s="50"/>
      <c r="D28" s="50" t="s">
        <v>1705</v>
      </c>
      <c r="E28" s="50"/>
      <c r="F28" s="50"/>
      <c r="G28" s="50"/>
      <c r="H28" s="50"/>
      <c r="I28" s="50"/>
      <c r="J28" s="50"/>
      <c r="K28" s="50"/>
      <c r="L28" s="50"/>
      <c r="M28" s="50"/>
      <c r="O28" s="46">
        <f>IF(B28="X",1,0)</f>
        <v>0</v>
      </c>
    </row>
    <row r="29" spans="1:18" x14ac:dyDescent="0.3">
      <c r="A29" s="50"/>
      <c r="B29" s="45"/>
      <c r="C29" s="50"/>
      <c r="D29" s="50" t="s">
        <v>1725</v>
      </c>
      <c r="E29" s="50"/>
      <c r="F29" s="50"/>
      <c r="G29" s="442"/>
      <c r="H29" s="454"/>
      <c r="I29" s="454"/>
      <c r="J29" s="454"/>
      <c r="K29" s="454"/>
      <c r="L29" s="454"/>
      <c r="M29" s="454"/>
    </row>
    <row r="30" spans="1:18" x14ac:dyDescent="0.3">
      <c r="A30" s="50"/>
      <c r="B30" s="50"/>
      <c r="C30" s="50"/>
      <c r="D30" s="50"/>
      <c r="E30" s="50"/>
      <c r="F30" s="50"/>
      <c r="G30" s="454"/>
      <c r="H30" s="454"/>
      <c r="I30" s="454"/>
      <c r="J30" s="454"/>
      <c r="K30" s="454"/>
      <c r="L30" s="454"/>
      <c r="M30" s="454"/>
    </row>
    <row r="31" spans="1:18" x14ac:dyDescent="0.3">
      <c r="A31" s="50"/>
      <c r="B31" s="50"/>
      <c r="C31" s="50"/>
      <c r="D31" s="50"/>
      <c r="E31" s="50"/>
      <c r="F31" s="50"/>
      <c r="G31" s="454"/>
      <c r="H31" s="454"/>
      <c r="I31" s="454"/>
      <c r="J31" s="454"/>
      <c r="K31" s="454"/>
      <c r="L31" s="454"/>
      <c r="M31" s="454"/>
    </row>
    <row r="32" spans="1:18" x14ac:dyDescent="0.3">
      <c r="A32" s="53" t="s">
        <v>1707</v>
      </c>
      <c r="B32" s="450" t="s">
        <v>1706</v>
      </c>
      <c r="C32" s="450"/>
      <c r="D32" s="450"/>
      <c r="E32" s="450"/>
      <c r="F32" s="450"/>
      <c r="G32" s="450"/>
      <c r="H32" s="450"/>
      <c r="I32" s="450"/>
      <c r="J32" s="450"/>
      <c r="K32" s="450"/>
      <c r="L32" s="450"/>
      <c r="M32" s="440"/>
    </row>
    <row r="33" spans="1:21" x14ac:dyDescent="0.3">
      <c r="A33" s="50"/>
      <c r="B33" s="44"/>
      <c r="C33" s="50"/>
      <c r="D33" s="50" t="s">
        <v>1598</v>
      </c>
      <c r="E33" s="50"/>
      <c r="F33" s="50"/>
      <c r="G33" s="50"/>
      <c r="H33" s="50"/>
      <c r="I33" s="50"/>
      <c r="J33" s="50"/>
      <c r="K33" s="50"/>
      <c r="L33" s="50"/>
      <c r="M33" s="50"/>
      <c r="O33" s="46">
        <f>IF(B33="x",1,0)</f>
        <v>0</v>
      </c>
      <c r="Q33" s="46">
        <f>SUM(O32:O35)</f>
        <v>0</v>
      </c>
      <c r="R33" s="46" t="str">
        <f>IF(Q33=0,"X","")</f>
        <v>X</v>
      </c>
    </row>
    <row r="34" spans="1:21" x14ac:dyDescent="0.3">
      <c r="A34" s="50"/>
      <c r="B34" s="44"/>
      <c r="C34" s="50"/>
      <c r="D34" s="50" t="s">
        <v>3539</v>
      </c>
      <c r="E34" s="50"/>
      <c r="F34" s="50"/>
      <c r="G34" s="50"/>
      <c r="H34" s="50"/>
      <c r="I34" s="50"/>
      <c r="J34" s="50"/>
      <c r="K34" s="50"/>
      <c r="L34" s="50"/>
      <c r="M34" s="50"/>
      <c r="O34" s="46">
        <f>IF(B34="x",1,0)</f>
        <v>0</v>
      </c>
    </row>
    <row r="35" spans="1:21" x14ac:dyDescent="0.3">
      <c r="A35" s="50"/>
      <c r="B35" s="45"/>
      <c r="C35" s="50"/>
      <c r="D35" s="44"/>
      <c r="E35" s="50"/>
      <c r="F35" s="435" t="s">
        <v>3527</v>
      </c>
      <c r="G35" s="435"/>
      <c r="H35" s="436"/>
      <c r="I35" s="436"/>
      <c r="J35" s="436"/>
      <c r="K35" s="436"/>
      <c r="L35" s="436"/>
      <c r="M35" s="50"/>
      <c r="R35" s="46">
        <f>IF(B34="X",1,0)</f>
        <v>0</v>
      </c>
      <c r="S35" s="46">
        <f>IF(D35="X",0,1)</f>
        <v>1</v>
      </c>
      <c r="U35" s="46" t="str">
        <f>IF(R35+S44=7,"X","")</f>
        <v/>
      </c>
    </row>
    <row r="36" spans="1:21" ht="13.5" customHeight="1" x14ac:dyDescent="0.3">
      <c r="A36" s="50"/>
      <c r="B36" s="50"/>
      <c r="C36" s="50"/>
      <c r="D36" s="50"/>
      <c r="E36" s="50"/>
      <c r="F36" s="436"/>
      <c r="G36" s="436"/>
      <c r="H36" s="436"/>
      <c r="I36" s="436"/>
      <c r="J36" s="436"/>
      <c r="K36" s="436"/>
      <c r="L36" s="436"/>
      <c r="M36" s="50"/>
    </row>
    <row r="37" spans="1:21" ht="13.5" customHeight="1" x14ac:dyDescent="0.3">
      <c r="A37" s="50"/>
      <c r="B37" s="50"/>
      <c r="C37" s="50"/>
      <c r="D37" s="44"/>
      <c r="E37" s="50"/>
      <c r="F37" s="435" t="s">
        <v>3528</v>
      </c>
      <c r="G37" s="435"/>
      <c r="H37" s="436"/>
      <c r="I37" s="436"/>
      <c r="J37" s="436"/>
      <c r="K37" s="436"/>
      <c r="L37" s="436"/>
      <c r="M37" s="50"/>
      <c r="S37" s="46">
        <f>IF(D37="X",0,1)</f>
        <v>1</v>
      </c>
    </row>
    <row r="38" spans="1:21" ht="14.25" customHeight="1" x14ac:dyDescent="0.3">
      <c r="A38" s="50"/>
      <c r="B38" s="50"/>
      <c r="C38" s="50"/>
      <c r="D38" s="50"/>
      <c r="E38" s="50"/>
      <c r="F38" s="436"/>
      <c r="G38" s="436"/>
      <c r="H38" s="436"/>
      <c r="I38" s="436"/>
      <c r="J38" s="436"/>
      <c r="K38" s="436"/>
      <c r="L38" s="436"/>
      <c r="M38" s="50"/>
    </row>
    <row r="39" spans="1:21" ht="15" customHeight="1" x14ac:dyDescent="0.3">
      <c r="A39" s="50"/>
      <c r="B39" s="50"/>
      <c r="C39" s="50"/>
      <c r="D39" s="44"/>
      <c r="E39" s="50"/>
      <c r="F39" s="435" t="s">
        <v>3540</v>
      </c>
      <c r="G39" s="435"/>
      <c r="H39" s="436"/>
      <c r="I39" s="436"/>
      <c r="J39" s="436"/>
      <c r="K39" s="436"/>
      <c r="L39" s="436"/>
      <c r="M39" s="50"/>
      <c r="S39" s="46">
        <f>IF(D39="X",0,1)</f>
        <v>1</v>
      </c>
    </row>
    <row r="40" spans="1:21" ht="15.75" customHeight="1" x14ac:dyDescent="0.3">
      <c r="A40" s="50"/>
      <c r="B40" s="50"/>
      <c r="C40" s="50"/>
      <c r="D40" s="50"/>
      <c r="E40" s="50"/>
      <c r="F40" s="436"/>
      <c r="G40" s="436"/>
      <c r="H40" s="436"/>
      <c r="I40" s="436"/>
      <c r="J40" s="436"/>
      <c r="K40" s="436"/>
      <c r="L40" s="436"/>
      <c r="M40" s="50"/>
    </row>
    <row r="41" spans="1:21" ht="15.75" customHeight="1" x14ac:dyDescent="0.3">
      <c r="A41" s="50"/>
      <c r="B41" s="50"/>
      <c r="C41" s="50"/>
      <c r="D41" s="44"/>
      <c r="E41" s="50"/>
      <c r="F41" s="435" t="s">
        <v>3542</v>
      </c>
      <c r="G41" s="435"/>
      <c r="H41" s="436"/>
      <c r="I41" s="436"/>
      <c r="J41" s="436"/>
      <c r="K41" s="436"/>
      <c r="L41" s="436"/>
      <c r="M41" s="50"/>
      <c r="S41" s="46">
        <f>IF(D41="X",0,1)</f>
        <v>1</v>
      </c>
    </row>
    <row r="42" spans="1:21" ht="12.75" customHeight="1" x14ac:dyDescent="0.3">
      <c r="A42" s="50"/>
      <c r="B42" s="50"/>
      <c r="C42" s="50"/>
      <c r="D42" s="50"/>
      <c r="E42" s="50"/>
      <c r="F42" s="436"/>
      <c r="G42" s="436"/>
      <c r="H42" s="436"/>
      <c r="I42" s="436"/>
      <c r="J42" s="436"/>
      <c r="K42" s="436"/>
      <c r="L42" s="436"/>
      <c r="M42" s="50"/>
      <c r="S42" s="46">
        <f>IF(D43="X",0,1)</f>
        <v>1</v>
      </c>
    </row>
    <row r="43" spans="1:21" ht="12.75" customHeight="1" x14ac:dyDescent="0.3">
      <c r="A43" s="50"/>
      <c r="B43" s="50"/>
      <c r="C43" s="50"/>
      <c r="D43" s="44"/>
      <c r="E43" s="50"/>
      <c r="F43" s="457" t="s">
        <v>3541</v>
      </c>
      <c r="G43" s="448"/>
      <c r="H43" s="448"/>
      <c r="I43" s="448"/>
      <c r="J43" s="448"/>
      <c r="K43" s="448"/>
      <c r="L43" s="448"/>
      <c r="M43" s="50"/>
      <c r="S43" s="46">
        <f>IF(D45="X",0,1)</f>
        <v>1</v>
      </c>
    </row>
    <row r="44" spans="1:21" ht="27.75" customHeight="1" x14ac:dyDescent="0.3">
      <c r="A44" s="50"/>
      <c r="B44" s="50"/>
      <c r="C44" s="50"/>
      <c r="D44" s="408"/>
      <c r="E44" s="50"/>
      <c r="F44" s="452"/>
      <c r="G44" s="448"/>
      <c r="H44" s="448"/>
      <c r="I44" s="448"/>
      <c r="J44" s="448"/>
      <c r="K44" s="448"/>
      <c r="L44" s="448"/>
      <c r="M44" s="50"/>
      <c r="S44" s="46">
        <f>SUM(S35:S43)</f>
        <v>6</v>
      </c>
    </row>
    <row r="45" spans="1:21" ht="12.75" customHeight="1" x14ac:dyDescent="0.3">
      <c r="A45" s="50"/>
      <c r="B45" s="50"/>
      <c r="C45" s="50"/>
      <c r="D45" s="44"/>
      <c r="E45" s="50"/>
      <c r="F45" s="458" t="s">
        <v>3543</v>
      </c>
      <c r="G45" s="459"/>
      <c r="H45" s="459"/>
      <c r="I45" s="459"/>
      <c r="J45" s="459"/>
      <c r="K45" s="459"/>
      <c r="L45" s="459"/>
      <c r="M45" s="50"/>
    </row>
    <row r="46" spans="1:21" ht="27" customHeight="1" x14ac:dyDescent="0.3">
      <c r="A46" s="50"/>
      <c r="B46" s="50"/>
      <c r="C46" s="50"/>
      <c r="D46" s="408"/>
      <c r="E46" s="50"/>
      <c r="F46" s="459"/>
      <c r="G46" s="459"/>
      <c r="H46" s="459"/>
      <c r="I46" s="459"/>
      <c r="J46" s="459"/>
      <c r="K46" s="459"/>
      <c r="L46" s="459"/>
      <c r="M46" s="50"/>
    </row>
    <row r="47" spans="1:21" ht="12.75" customHeight="1" x14ac:dyDescent="0.3">
      <c r="A47" s="50"/>
      <c r="B47" s="50"/>
      <c r="C47" s="50"/>
      <c r="D47" s="50" t="s">
        <v>1725</v>
      </c>
      <c r="E47" s="50"/>
      <c r="F47" s="50"/>
      <c r="G47" s="442"/>
      <c r="H47" s="454"/>
      <c r="I47" s="454"/>
      <c r="J47" s="454"/>
      <c r="K47" s="454"/>
      <c r="L47" s="454"/>
      <c r="M47" s="454"/>
    </row>
    <row r="48" spans="1:21" ht="12.75" customHeight="1" x14ac:dyDescent="0.3">
      <c r="A48" s="50"/>
      <c r="B48" s="50"/>
      <c r="C48" s="50"/>
      <c r="D48" s="50"/>
      <c r="E48" s="50"/>
      <c r="F48" s="50"/>
      <c r="G48" s="454"/>
      <c r="H48" s="454"/>
      <c r="I48" s="454"/>
      <c r="J48" s="454"/>
      <c r="K48" s="454"/>
      <c r="L48" s="454"/>
      <c r="M48" s="454"/>
    </row>
    <row r="49" spans="1:18" ht="12.75" customHeight="1" x14ac:dyDescent="0.3">
      <c r="A49" s="50"/>
      <c r="B49" s="50"/>
      <c r="C49" s="50"/>
      <c r="D49" s="50"/>
      <c r="E49" s="50"/>
      <c r="F49" s="50"/>
      <c r="G49" s="454"/>
      <c r="H49" s="454"/>
      <c r="I49" s="454"/>
      <c r="J49" s="454"/>
      <c r="K49" s="454"/>
      <c r="L49" s="454"/>
      <c r="M49" s="454"/>
    </row>
    <row r="50" spans="1:18" ht="15" customHeight="1" x14ac:dyDescent="0.3">
      <c r="A50" s="53" t="s">
        <v>3522</v>
      </c>
      <c r="B50" s="53" t="s">
        <v>3525</v>
      </c>
      <c r="C50" s="53"/>
      <c r="D50" s="50"/>
      <c r="E50" s="50"/>
      <c r="F50" s="50"/>
      <c r="G50" s="50"/>
      <c r="H50" s="50"/>
      <c r="I50" s="50"/>
      <c r="J50" s="50"/>
      <c r="K50" s="50"/>
      <c r="L50" s="50"/>
      <c r="M50" s="50"/>
    </row>
    <row r="51" spans="1:18" x14ac:dyDescent="0.3">
      <c r="A51" s="50"/>
      <c r="B51" s="44"/>
      <c r="C51" s="50"/>
      <c r="D51" s="50" t="s">
        <v>1709</v>
      </c>
      <c r="E51" s="50"/>
      <c r="F51" s="50"/>
      <c r="G51" s="50"/>
      <c r="H51" s="50"/>
      <c r="I51" s="50"/>
      <c r="J51" s="50"/>
      <c r="K51" s="50"/>
      <c r="L51" s="50"/>
      <c r="M51" s="50"/>
      <c r="O51" s="46">
        <f>IF(B51="x",1,0)</f>
        <v>0</v>
      </c>
    </row>
    <row r="52" spans="1:18" x14ac:dyDescent="0.3">
      <c r="A52" s="50"/>
      <c r="B52" s="409"/>
      <c r="C52" s="50"/>
      <c r="D52" s="411" t="s">
        <v>3526</v>
      </c>
      <c r="E52" s="50"/>
      <c r="F52" s="50"/>
      <c r="G52" s="50"/>
      <c r="H52" s="50"/>
      <c r="I52" s="50"/>
      <c r="J52" s="50"/>
      <c r="K52" s="50"/>
      <c r="L52" s="50"/>
      <c r="M52" s="50"/>
      <c r="O52" s="413">
        <f>IF(B52="x",1,0)</f>
        <v>0</v>
      </c>
    </row>
    <row r="53" spans="1:18" x14ac:dyDescent="0.3">
      <c r="A53" s="50"/>
      <c r="B53" s="44"/>
      <c r="C53" s="50"/>
      <c r="D53" s="50" t="s">
        <v>1710</v>
      </c>
      <c r="E53" s="50"/>
      <c r="F53" s="50"/>
      <c r="G53" s="50"/>
      <c r="H53" s="50"/>
      <c r="I53" s="50"/>
      <c r="J53" s="50"/>
      <c r="K53" s="50"/>
      <c r="L53" s="50"/>
      <c r="M53" s="50"/>
      <c r="O53" s="46">
        <f>IF(B53="x",1,0)</f>
        <v>0</v>
      </c>
      <c r="Q53" s="46">
        <f>SUM(O51:O55)</f>
        <v>0</v>
      </c>
      <c r="R53" s="46" t="str">
        <f>IF(Q53=0,"X","")</f>
        <v>X</v>
      </c>
    </row>
    <row r="54" spans="1:18" x14ac:dyDescent="0.3">
      <c r="A54" s="50"/>
      <c r="B54" s="44"/>
      <c r="C54" s="50"/>
      <c r="D54" s="50" t="s">
        <v>1785</v>
      </c>
      <c r="E54" s="50"/>
      <c r="F54" s="50"/>
      <c r="G54" s="50"/>
      <c r="H54" s="50"/>
      <c r="I54" s="50"/>
      <c r="J54" s="50"/>
      <c r="K54" s="50"/>
      <c r="L54" s="50"/>
      <c r="M54" s="50"/>
      <c r="O54" s="46">
        <f>IF(B54="x",1,0)</f>
        <v>0</v>
      </c>
    </row>
    <row r="55" spans="1:18" x14ac:dyDescent="0.3">
      <c r="A55" s="50"/>
      <c r="B55" s="44"/>
      <c r="C55" s="50"/>
      <c r="D55" s="50" t="s">
        <v>1711</v>
      </c>
      <c r="E55" s="50"/>
      <c r="F55" s="50"/>
      <c r="G55" s="50"/>
      <c r="H55" s="50"/>
      <c r="I55" s="50"/>
      <c r="J55" s="50"/>
      <c r="K55" s="50"/>
      <c r="L55" s="50"/>
      <c r="M55" s="50"/>
      <c r="O55" s="46">
        <f>IF(B55="X",1,0)</f>
        <v>0</v>
      </c>
    </row>
    <row r="56" spans="1:18" x14ac:dyDescent="0.3">
      <c r="A56" s="50"/>
      <c r="B56" s="45"/>
      <c r="C56" s="50"/>
      <c r="D56" s="50" t="s">
        <v>1725</v>
      </c>
      <c r="E56" s="50"/>
      <c r="F56" s="50"/>
      <c r="G56" s="442"/>
      <c r="H56" s="454"/>
      <c r="I56" s="454"/>
      <c r="J56" s="454"/>
      <c r="K56" s="454"/>
      <c r="L56" s="454"/>
      <c r="M56" s="454"/>
    </row>
    <row r="57" spans="1:18" x14ac:dyDescent="0.3">
      <c r="A57" s="50"/>
      <c r="B57" s="45"/>
      <c r="C57" s="50"/>
      <c r="D57" s="50"/>
      <c r="E57" s="50"/>
      <c r="F57" s="50"/>
      <c r="G57" s="454"/>
      <c r="H57" s="454"/>
      <c r="I57" s="454"/>
      <c r="J57" s="454"/>
      <c r="K57" s="454"/>
      <c r="L57" s="454"/>
      <c r="M57" s="454"/>
    </row>
    <row r="58" spans="1:18" x14ac:dyDescent="0.3">
      <c r="A58" s="50"/>
      <c r="B58" s="45"/>
      <c r="C58" s="50"/>
      <c r="D58" s="50"/>
      <c r="E58" s="50"/>
      <c r="F58" s="50"/>
      <c r="G58" s="454"/>
      <c r="H58" s="454"/>
      <c r="I58" s="454"/>
      <c r="J58" s="454"/>
      <c r="K58" s="454"/>
      <c r="L58" s="454"/>
      <c r="M58" s="454"/>
    </row>
    <row r="59" spans="1:18" x14ac:dyDescent="0.3">
      <c r="A59" s="53" t="s">
        <v>3523</v>
      </c>
      <c r="B59" s="53" t="s">
        <v>1712</v>
      </c>
      <c r="C59" s="53"/>
      <c r="D59" s="50"/>
      <c r="E59" s="50"/>
      <c r="F59" s="50"/>
      <c r="G59" s="50"/>
      <c r="H59" s="50"/>
      <c r="I59" s="50"/>
      <c r="J59" s="50"/>
      <c r="K59" s="50"/>
      <c r="L59" s="50"/>
      <c r="M59" s="50"/>
    </row>
    <row r="60" spans="1:18" x14ac:dyDescent="0.3">
      <c r="A60" s="50"/>
      <c r="B60" s="44"/>
      <c r="C60" s="50"/>
      <c r="D60" s="50" t="s">
        <v>1713</v>
      </c>
      <c r="E60" s="50"/>
      <c r="F60" s="50"/>
      <c r="G60" s="50"/>
      <c r="H60" s="50"/>
      <c r="I60" s="50"/>
      <c r="J60" s="50"/>
      <c r="K60" s="50"/>
      <c r="L60" s="50"/>
      <c r="M60" s="50"/>
      <c r="O60" s="46">
        <f>IF(B60="x",1,0)</f>
        <v>0</v>
      </c>
    </row>
    <row r="61" spans="1:18" x14ac:dyDescent="0.3">
      <c r="A61" s="50"/>
      <c r="B61" s="44"/>
      <c r="C61" s="50"/>
      <c r="D61" s="50" t="s">
        <v>1714</v>
      </c>
      <c r="E61" s="50"/>
      <c r="F61" s="50"/>
      <c r="G61" s="50"/>
      <c r="H61" s="50"/>
      <c r="I61" s="50"/>
      <c r="J61" s="50"/>
      <c r="K61" s="50"/>
      <c r="L61" s="50"/>
      <c r="M61" s="50"/>
      <c r="O61" s="46">
        <f>IF(B61="x",1,0)</f>
        <v>0</v>
      </c>
      <c r="Q61" s="46">
        <f>SUM(O60:O63)</f>
        <v>0</v>
      </c>
      <c r="R61" s="46" t="str">
        <f>IF(Q61=0,"X","")</f>
        <v>X</v>
      </c>
    </row>
    <row r="62" spans="1:18" x14ac:dyDescent="0.3">
      <c r="A62" s="50"/>
      <c r="B62" s="44"/>
      <c r="C62" s="50"/>
      <c r="D62" s="50" t="s">
        <v>1715</v>
      </c>
      <c r="E62" s="50"/>
      <c r="F62" s="50"/>
      <c r="G62" s="50"/>
      <c r="H62" s="50"/>
      <c r="I62" s="50"/>
      <c r="J62" s="50"/>
      <c r="K62" s="50"/>
      <c r="L62" s="50"/>
      <c r="M62" s="50"/>
      <c r="O62" s="46">
        <f>IF(B62="X",1,0)</f>
        <v>0</v>
      </c>
    </row>
    <row r="63" spans="1:18" x14ac:dyDescent="0.3">
      <c r="A63" s="50"/>
      <c r="B63" s="44"/>
      <c r="C63" s="50"/>
      <c r="D63" s="50" t="s">
        <v>1777</v>
      </c>
      <c r="E63" s="50"/>
      <c r="F63" s="50"/>
      <c r="G63" s="50"/>
      <c r="H63" s="50"/>
      <c r="I63" s="50"/>
      <c r="J63" s="50"/>
      <c r="K63" s="50"/>
      <c r="L63" s="50"/>
      <c r="M63" s="50"/>
      <c r="O63" s="46">
        <f>IF(B63="x",1,0)</f>
        <v>0</v>
      </c>
    </row>
    <row r="64" spans="1:18" x14ac:dyDescent="0.3">
      <c r="A64" s="50"/>
      <c r="B64" s="45"/>
      <c r="C64" s="50"/>
      <c r="D64" s="50" t="s">
        <v>1788</v>
      </c>
      <c r="E64" s="50"/>
      <c r="F64" s="50"/>
      <c r="G64" s="50"/>
      <c r="H64" s="50"/>
      <c r="I64" s="50"/>
      <c r="J64" s="50"/>
      <c r="K64" s="50"/>
      <c r="L64" s="50"/>
      <c r="M64" s="50"/>
    </row>
    <row r="65" spans="1:15" x14ac:dyDescent="0.3">
      <c r="A65" s="50"/>
      <c r="B65" s="45"/>
      <c r="C65" s="50"/>
      <c r="D65" s="50" t="s">
        <v>1778</v>
      </c>
      <c r="E65" s="50" t="s">
        <v>1779</v>
      </c>
      <c r="F65" s="50"/>
      <c r="H65" s="50"/>
      <c r="I65" s="50"/>
      <c r="J65" s="50"/>
      <c r="K65" s="50"/>
      <c r="L65" s="50"/>
      <c r="M65" s="50"/>
    </row>
    <row r="66" spans="1:15" x14ac:dyDescent="0.3">
      <c r="A66" s="50"/>
      <c r="B66" s="45"/>
      <c r="C66" s="50"/>
      <c r="D66" s="50" t="s">
        <v>1778</v>
      </c>
      <c r="E66" s="50" t="s">
        <v>1780</v>
      </c>
      <c r="F66" s="50"/>
      <c r="H66" s="50"/>
      <c r="I66" s="50"/>
      <c r="J66" s="50"/>
      <c r="K66" s="50"/>
      <c r="L66" s="50"/>
      <c r="M66" s="50"/>
    </row>
    <row r="67" spans="1:15" x14ac:dyDescent="0.3">
      <c r="A67" s="50"/>
      <c r="B67" s="45"/>
      <c r="C67" s="50"/>
      <c r="D67" s="50" t="s">
        <v>1778</v>
      </c>
      <c r="E67" s="50" t="s">
        <v>1781</v>
      </c>
      <c r="F67" s="50"/>
      <c r="H67" s="50"/>
      <c r="I67" s="50"/>
      <c r="J67" s="50"/>
      <c r="K67" s="50"/>
      <c r="L67" s="50"/>
      <c r="M67" s="50"/>
    </row>
    <row r="68" spans="1:15" x14ac:dyDescent="0.3">
      <c r="A68" s="50"/>
      <c r="B68" s="45"/>
      <c r="C68" s="50"/>
      <c r="D68" s="50" t="s">
        <v>1778</v>
      </c>
      <c r="E68" s="50" t="s">
        <v>1782</v>
      </c>
      <c r="F68" s="50"/>
      <c r="H68" s="50"/>
      <c r="I68" s="50"/>
      <c r="J68" s="50"/>
      <c r="K68" s="50"/>
      <c r="L68" s="50"/>
      <c r="M68" s="50"/>
    </row>
    <row r="69" spans="1:15" x14ac:dyDescent="0.3">
      <c r="A69" s="50"/>
      <c r="B69" s="45"/>
      <c r="C69" s="50"/>
      <c r="D69" s="50" t="s">
        <v>1778</v>
      </c>
      <c r="E69" s="60" t="s">
        <v>1787</v>
      </c>
      <c r="F69" s="50"/>
      <c r="H69" s="50"/>
      <c r="I69" s="50"/>
      <c r="J69" s="50"/>
      <c r="K69" s="50"/>
      <c r="L69" s="50"/>
      <c r="M69" s="50"/>
    </row>
    <row r="70" spans="1:15" ht="28.5" customHeight="1" x14ac:dyDescent="0.3">
      <c r="A70" s="50"/>
      <c r="B70" s="45"/>
      <c r="C70" s="50"/>
      <c r="D70" s="50" t="s">
        <v>1778</v>
      </c>
      <c r="E70" s="435" t="s">
        <v>1783</v>
      </c>
      <c r="F70" s="452"/>
      <c r="G70" s="452"/>
      <c r="H70" s="452"/>
      <c r="I70" s="452"/>
      <c r="J70" s="452"/>
      <c r="K70" s="452"/>
      <c r="L70" s="50"/>
      <c r="M70" s="50"/>
    </row>
    <row r="71" spans="1:15" x14ac:dyDescent="0.3">
      <c r="A71" s="50"/>
      <c r="B71" s="45"/>
      <c r="C71" s="50"/>
      <c r="D71" s="50" t="s">
        <v>1725</v>
      </c>
      <c r="E71" s="50"/>
      <c r="F71" s="50"/>
      <c r="G71" s="455"/>
      <c r="H71" s="456"/>
      <c r="I71" s="456"/>
      <c r="J71" s="456"/>
      <c r="K71" s="456"/>
      <c r="L71" s="456"/>
      <c r="M71" s="456"/>
    </row>
    <row r="72" spans="1:15" x14ac:dyDescent="0.3">
      <c r="A72" s="50"/>
      <c r="B72" s="45"/>
      <c r="C72" s="50"/>
      <c r="D72" s="50"/>
      <c r="E72" s="50"/>
      <c r="F72" s="50"/>
      <c r="G72" s="456"/>
      <c r="H72" s="456"/>
      <c r="I72" s="456"/>
      <c r="J72" s="456"/>
      <c r="K72" s="456"/>
      <c r="L72" s="456"/>
      <c r="M72" s="456"/>
    </row>
    <row r="73" spans="1:15" x14ac:dyDescent="0.3">
      <c r="A73" s="50"/>
      <c r="B73" s="45"/>
      <c r="C73" s="50"/>
      <c r="D73" s="50"/>
      <c r="E73" s="50"/>
      <c r="F73" s="50"/>
      <c r="G73" s="456"/>
      <c r="H73" s="456"/>
      <c r="I73" s="456"/>
      <c r="J73" s="456"/>
      <c r="K73" s="456"/>
      <c r="L73" s="456"/>
      <c r="M73" s="456"/>
    </row>
    <row r="74" spans="1:15" x14ac:dyDescent="0.3">
      <c r="A74" s="50"/>
      <c r="B74" s="45"/>
      <c r="C74" s="50"/>
      <c r="D74" s="50"/>
      <c r="E74" s="50"/>
      <c r="F74" s="50"/>
      <c r="G74" s="456"/>
      <c r="H74" s="456"/>
      <c r="I74" s="456"/>
      <c r="J74" s="456"/>
      <c r="K74" s="456"/>
      <c r="L74" s="456"/>
      <c r="M74" s="456"/>
    </row>
    <row r="75" spans="1:15" x14ac:dyDescent="0.3">
      <c r="A75" s="50"/>
      <c r="B75" s="45"/>
      <c r="C75" s="50"/>
      <c r="D75" s="50"/>
      <c r="E75" s="50"/>
      <c r="F75" s="50"/>
      <c r="G75" s="456"/>
      <c r="H75" s="456"/>
      <c r="I75" s="456"/>
      <c r="J75" s="456"/>
      <c r="K75" s="456"/>
      <c r="L75" s="456"/>
      <c r="M75" s="456"/>
    </row>
    <row r="76" spans="1:15" x14ac:dyDescent="0.3">
      <c r="A76" s="50"/>
      <c r="B76" s="45"/>
      <c r="C76" s="50"/>
      <c r="D76" s="50"/>
      <c r="E76" s="50"/>
      <c r="F76" s="50"/>
      <c r="G76" s="456"/>
      <c r="H76" s="456"/>
      <c r="I76" s="456"/>
      <c r="J76" s="456"/>
      <c r="K76" s="456"/>
      <c r="L76" s="456"/>
      <c r="M76" s="456"/>
    </row>
    <row r="77" spans="1:15" ht="24" customHeight="1" x14ac:dyDescent="0.3">
      <c r="A77" s="50"/>
      <c r="B77" s="45"/>
      <c r="C77" s="50"/>
      <c r="D77" s="50"/>
      <c r="E77" s="50"/>
      <c r="F77" s="50"/>
      <c r="G77" s="456"/>
      <c r="H77" s="456"/>
      <c r="I77" s="456"/>
      <c r="J77" s="456"/>
      <c r="K77" s="456"/>
      <c r="L77" s="456"/>
      <c r="M77" s="456"/>
    </row>
    <row r="78" spans="1:15" x14ac:dyDescent="0.3">
      <c r="A78" s="53" t="s">
        <v>1708</v>
      </c>
      <c r="B78" s="449" t="s">
        <v>1786</v>
      </c>
      <c r="C78" s="452"/>
      <c r="D78" s="452"/>
      <c r="E78" s="452"/>
      <c r="F78" s="452"/>
      <c r="G78" s="452"/>
      <c r="H78" s="452"/>
      <c r="I78" s="452"/>
      <c r="J78" s="452"/>
      <c r="K78" s="452"/>
      <c r="L78" s="452"/>
      <c r="M78" s="452"/>
    </row>
    <row r="79" spans="1:15" ht="13.5" customHeight="1" x14ac:dyDescent="0.3">
      <c r="A79" s="53"/>
      <c r="B79" s="452"/>
      <c r="C79" s="452"/>
      <c r="D79" s="452"/>
      <c r="E79" s="452"/>
      <c r="F79" s="452"/>
      <c r="G79" s="452"/>
      <c r="H79" s="452"/>
      <c r="I79" s="452"/>
      <c r="J79" s="452"/>
      <c r="K79" s="452"/>
      <c r="L79" s="452"/>
      <c r="M79" s="452"/>
    </row>
    <row r="80" spans="1:15" x14ac:dyDescent="0.3">
      <c r="A80" s="50"/>
      <c r="B80" s="44"/>
      <c r="C80" s="50"/>
      <c r="D80" s="50" t="s">
        <v>1716</v>
      </c>
      <c r="E80" s="50"/>
      <c r="F80" s="50"/>
      <c r="G80" s="50"/>
      <c r="H80" s="50"/>
      <c r="I80" s="50"/>
      <c r="J80" s="50"/>
      <c r="K80" s="50"/>
      <c r="L80" s="50"/>
      <c r="M80" s="50"/>
      <c r="O80" s="46">
        <f>IF(B80="x",1,0)</f>
        <v>0</v>
      </c>
    </row>
    <row r="81" spans="1:18" x14ac:dyDescent="0.3">
      <c r="A81" s="50"/>
      <c r="B81" s="44"/>
      <c r="C81" s="50"/>
      <c r="D81" s="435" t="s">
        <v>1794</v>
      </c>
      <c r="E81" s="436"/>
      <c r="F81" s="436"/>
      <c r="G81" s="436"/>
      <c r="H81" s="436"/>
      <c r="I81" s="436"/>
      <c r="J81" s="436"/>
      <c r="K81" s="436"/>
      <c r="L81" s="436"/>
      <c r="M81" s="436"/>
      <c r="O81" s="46">
        <f>IF(B81="x",1,0)</f>
        <v>0</v>
      </c>
      <c r="Q81" s="46">
        <f>SUM(O80:O88)</f>
        <v>0</v>
      </c>
      <c r="R81" s="46" t="s">
        <v>1784</v>
      </c>
    </row>
    <row r="82" spans="1:18" ht="14.25" customHeight="1" x14ac:dyDescent="0.3">
      <c r="A82" s="50"/>
      <c r="B82" s="50"/>
      <c r="C82" s="50"/>
      <c r="D82" s="436"/>
      <c r="E82" s="436"/>
      <c r="F82" s="436"/>
      <c r="G82" s="436"/>
      <c r="H82" s="436"/>
      <c r="I82" s="436"/>
      <c r="J82" s="436"/>
      <c r="K82" s="436"/>
      <c r="L82" s="436"/>
      <c r="M82" s="436"/>
    </row>
    <row r="83" spans="1:18" ht="14.25" customHeight="1" x14ac:dyDescent="0.3">
      <c r="A83" s="50"/>
      <c r="B83" s="44"/>
      <c r="C83" s="50"/>
      <c r="D83" s="435" t="s">
        <v>1793</v>
      </c>
      <c r="E83" s="436"/>
      <c r="F83" s="436"/>
      <c r="G83" s="436"/>
      <c r="H83" s="436"/>
      <c r="I83" s="436"/>
      <c r="J83" s="436"/>
      <c r="K83" s="436"/>
      <c r="L83" s="436"/>
      <c r="M83" s="436"/>
      <c r="O83" s="46">
        <f>IF(B83="X",1,0)</f>
        <v>0</v>
      </c>
    </row>
    <row r="84" spans="1:18" ht="15" customHeight="1" x14ac:dyDescent="0.3">
      <c r="A84" s="50"/>
      <c r="B84" s="50"/>
      <c r="C84" s="50"/>
      <c r="D84" s="436"/>
      <c r="E84" s="436"/>
      <c r="F84" s="436"/>
      <c r="G84" s="436"/>
      <c r="H84" s="436"/>
      <c r="I84" s="436"/>
      <c r="J84" s="436"/>
      <c r="K84" s="436"/>
      <c r="L84" s="436"/>
      <c r="M84" s="436"/>
    </row>
    <row r="85" spans="1:18" ht="15" customHeight="1" x14ac:dyDescent="0.3">
      <c r="A85" s="50"/>
      <c r="B85" s="44"/>
      <c r="C85" s="50"/>
      <c r="D85" s="56" t="s">
        <v>1721</v>
      </c>
      <c r="E85" s="55"/>
      <c r="F85" s="55"/>
      <c r="G85" s="55"/>
      <c r="H85" s="55"/>
      <c r="I85" s="55"/>
      <c r="J85" s="55"/>
      <c r="K85" s="55"/>
      <c r="L85" s="55"/>
      <c r="M85" s="55"/>
      <c r="O85" s="46">
        <f>IF(B85="X",1,0)</f>
        <v>0</v>
      </c>
    </row>
    <row r="86" spans="1:18" x14ac:dyDescent="0.3">
      <c r="A86" s="50"/>
      <c r="B86" s="44"/>
      <c r="C86" s="50"/>
      <c r="D86" s="50" t="s">
        <v>1790</v>
      </c>
      <c r="E86" s="50"/>
      <c r="F86" s="50"/>
      <c r="G86" s="50"/>
      <c r="H86" s="50"/>
      <c r="I86" s="50"/>
      <c r="J86" s="50"/>
      <c r="K86" s="50"/>
      <c r="L86" s="50"/>
      <c r="M86" s="50"/>
      <c r="O86" s="46">
        <f>IF(B86="X",1,0)</f>
        <v>0</v>
      </c>
    </row>
    <row r="87" spans="1:18" x14ac:dyDescent="0.3">
      <c r="A87" s="50"/>
      <c r="B87" s="44"/>
      <c r="C87" s="50"/>
      <c r="D87" s="50" t="s">
        <v>1792</v>
      </c>
      <c r="E87" s="50"/>
      <c r="F87" s="50"/>
      <c r="G87" s="50"/>
      <c r="H87" s="50"/>
      <c r="I87" s="50"/>
      <c r="J87" s="50"/>
      <c r="K87" s="50"/>
      <c r="L87" s="50"/>
      <c r="M87" s="50"/>
      <c r="O87" s="46">
        <f>IF(B87="X",1,0)</f>
        <v>0</v>
      </c>
    </row>
    <row r="88" spans="1:18" x14ac:dyDescent="0.3">
      <c r="A88" s="50"/>
      <c r="B88" s="44"/>
      <c r="C88" s="50"/>
      <c r="D88" s="50" t="s">
        <v>1791</v>
      </c>
      <c r="E88" s="50"/>
      <c r="F88" s="50"/>
      <c r="G88" s="50"/>
      <c r="H88" s="50"/>
      <c r="I88" s="50"/>
      <c r="J88" s="50"/>
      <c r="K88" s="50"/>
      <c r="L88" s="50"/>
      <c r="M88" s="50"/>
      <c r="O88" s="46">
        <f>IF(B88="X",1,0)</f>
        <v>0</v>
      </c>
    </row>
    <row r="89" spans="1:18" x14ac:dyDescent="0.3">
      <c r="A89" s="50"/>
      <c r="B89" s="45"/>
      <c r="C89" s="50"/>
      <c r="D89" s="50" t="s">
        <v>1725</v>
      </c>
      <c r="E89" s="50"/>
      <c r="F89" s="50"/>
      <c r="G89" s="442"/>
      <c r="H89" s="454"/>
      <c r="I89" s="454"/>
      <c r="J89" s="454"/>
      <c r="K89" s="454"/>
      <c r="L89" s="454"/>
      <c r="M89" s="454"/>
    </row>
    <row r="90" spans="1:18" x14ac:dyDescent="0.3">
      <c r="A90" s="50"/>
      <c r="B90" s="45"/>
      <c r="C90" s="50"/>
      <c r="D90" s="50"/>
      <c r="E90" s="50"/>
      <c r="F90" s="50"/>
      <c r="G90" s="454"/>
      <c r="H90" s="454"/>
      <c r="I90" s="454"/>
      <c r="J90" s="454"/>
      <c r="K90" s="454"/>
      <c r="L90" s="454"/>
      <c r="M90" s="454"/>
    </row>
    <row r="91" spans="1:18" x14ac:dyDescent="0.3">
      <c r="A91" s="50"/>
      <c r="B91" s="45"/>
      <c r="C91" s="50"/>
      <c r="D91" s="50"/>
      <c r="E91" s="50"/>
      <c r="F91" s="50"/>
      <c r="G91" s="454"/>
      <c r="H91" s="454"/>
      <c r="I91" s="454"/>
      <c r="J91" s="454"/>
      <c r="K91" s="454"/>
      <c r="L91" s="454"/>
      <c r="M91" s="454"/>
    </row>
    <row r="92" spans="1:18" x14ac:dyDescent="0.3">
      <c r="A92" s="53" t="s">
        <v>3524</v>
      </c>
      <c r="B92" s="53" t="s">
        <v>1728</v>
      </c>
      <c r="C92" s="53"/>
      <c r="D92" s="50"/>
      <c r="E92" s="50"/>
      <c r="F92" s="50"/>
      <c r="G92" s="50"/>
      <c r="H92" s="50"/>
      <c r="I92" s="50"/>
      <c r="J92" s="50"/>
      <c r="K92" s="50"/>
      <c r="L92" s="50"/>
      <c r="M92" s="50"/>
    </row>
    <row r="93" spans="1:18" x14ac:dyDescent="0.3">
      <c r="A93" s="50"/>
      <c r="B93" s="44"/>
      <c r="C93" s="50"/>
      <c r="D93" s="414" t="s">
        <v>3544</v>
      </c>
      <c r="E93" s="53"/>
      <c r="F93" s="50"/>
      <c r="G93" s="50"/>
      <c r="H93" s="50"/>
      <c r="I93" s="50"/>
      <c r="J93" s="50"/>
      <c r="K93" s="50"/>
      <c r="L93" s="50"/>
      <c r="M93" s="50"/>
      <c r="O93" s="46">
        <f>IF(B93="x",1,0)</f>
        <v>0</v>
      </c>
    </row>
    <row r="94" spans="1:18" x14ac:dyDescent="0.3">
      <c r="A94" s="50"/>
      <c r="B94" s="44"/>
      <c r="C94" s="50"/>
      <c r="D94" s="50" t="s">
        <v>1789</v>
      </c>
      <c r="E94" s="50"/>
      <c r="F94" s="50"/>
      <c r="G94" s="50"/>
      <c r="H94" s="50"/>
      <c r="I94" s="50"/>
      <c r="J94" s="50"/>
      <c r="K94" s="50"/>
      <c r="L94" s="50"/>
      <c r="M94" s="50"/>
      <c r="O94" s="46">
        <f>IF(B94="x",1,0)</f>
        <v>0</v>
      </c>
      <c r="Q94" s="46">
        <f>SUM(O93:O97)</f>
        <v>0</v>
      </c>
      <c r="R94" s="46" t="str">
        <f>IF(Q94=0,"X","")</f>
        <v>X</v>
      </c>
    </row>
    <row r="95" spans="1:18" x14ac:dyDescent="0.3">
      <c r="A95" s="50"/>
      <c r="B95" s="45"/>
      <c r="C95" s="50"/>
      <c r="D95" s="50" t="s">
        <v>1725</v>
      </c>
      <c r="E95" s="50"/>
      <c r="F95" s="50"/>
      <c r="G95" s="442"/>
      <c r="H95" s="454"/>
      <c r="I95" s="454"/>
      <c r="J95" s="454"/>
      <c r="K95" s="454"/>
      <c r="L95" s="454"/>
      <c r="M95" s="454"/>
    </row>
    <row r="96" spans="1:18" s="413" customFormat="1" x14ac:dyDescent="0.3">
      <c r="A96" s="414"/>
      <c r="B96" s="412"/>
      <c r="C96" s="414"/>
      <c r="D96" s="414"/>
      <c r="E96" s="414"/>
      <c r="F96" s="414"/>
      <c r="G96" s="442"/>
      <c r="H96" s="454"/>
      <c r="I96" s="454"/>
      <c r="J96" s="454"/>
      <c r="K96" s="454"/>
      <c r="L96" s="454"/>
      <c r="M96" s="454"/>
    </row>
    <row r="97" spans="1:13" x14ac:dyDescent="0.3">
      <c r="A97" s="50"/>
      <c r="B97" s="45"/>
      <c r="C97" s="50"/>
      <c r="D97" s="50"/>
      <c r="E97" s="50"/>
      <c r="F97" s="50"/>
      <c r="G97" s="454"/>
      <c r="H97" s="454"/>
      <c r="I97" s="454"/>
      <c r="J97" s="454"/>
      <c r="K97" s="454"/>
      <c r="L97" s="454"/>
      <c r="M97" s="454"/>
    </row>
    <row r="98" spans="1:13" x14ac:dyDescent="0.3">
      <c r="A98" s="52"/>
      <c r="B98" s="49"/>
      <c r="C98" s="49"/>
      <c r="D98" s="49"/>
      <c r="E98" s="49"/>
      <c r="F98" s="49"/>
      <c r="G98" s="49"/>
      <c r="H98" s="49"/>
      <c r="I98" s="49"/>
      <c r="J98" s="49"/>
      <c r="K98" s="49"/>
      <c r="L98" s="49"/>
      <c r="M98" s="49"/>
    </row>
    <row r="99" spans="1:13" x14ac:dyDescent="0.3">
      <c r="A99" s="455"/>
      <c r="B99" s="456"/>
      <c r="C99" s="456"/>
      <c r="D99" s="456"/>
      <c r="E99" s="456"/>
      <c r="F99" s="456"/>
      <c r="G99" s="456"/>
      <c r="H99" s="456"/>
      <c r="I99" s="456"/>
      <c r="J99" s="456"/>
      <c r="K99" s="456"/>
      <c r="L99" s="456"/>
      <c r="M99" s="456"/>
    </row>
    <row r="100" spans="1:13" x14ac:dyDescent="0.3">
      <c r="A100" s="456"/>
      <c r="B100" s="456"/>
      <c r="C100" s="456"/>
      <c r="D100" s="456"/>
      <c r="E100" s="456"/>
      <c r="F100" s="456"/>
      <c r="G100" s="456"/>
      <c r="H100" s="456"/>
      <c r="I100" s="456"/>
      <c r="J100" s="456"/>
      <c r="K100" s="456"/>
      <c r="L100" s="456"/>
      <c r="M100" s="456"/>
    </row>
    <row r="101" spans="1:13" x14ac:dyDescent="0.3">
      <c r="A101" s="456"/>
      <c r="B101" s="456"/>
      <c r="C101" s="456"/>
      <c r="D101" s="456"/>
      <c r="E101" s="456"/>
      <c r="F101" s="456"/>
      <c r="G101" s="456"/>
      <c r="H101" s="456"/>
      <c r="I101" s="456"/>
      <c r="J101" s="456"/>
      <c r="K101" s="456"/>
      <c r="L101" s="456"/>
      <c r="M101" s="456"/>
    </row>
    <row r="102" spans="1:13" x14ac:dyDescent="0.3">
      <c r="A102" s="456"/>
      <c r="B102" s="456"/>
      <c r="C102" s="456"/>
      <c r="D102" s="456"/>
      <c r="E102" s="456"/>
      <c r="F102" s="456"/>
      <c r="G102" s="456"/>
      <c r="H102" s="456"/>
      <c r="I102" s="456"/>
      <c r="J102" s="456"/>
      <c r="K102" s="456"/>
      <c r="L102" s="456"/>
      <c r="M102" s="456"/>
    </row>
    <row r="103" spans="1:13" x14ac:dyDescent="0.3">
      <c r="A103" s="456"/>
      <c r="B103" s="456"/>
      <c r="C103" s="456"/>
      <c r="D103" s="456"/>
      <c r="E103" s="456"/>
      <c r="F103" s="456"/>
      <c r="G103" s="456"/>
      <c r="H103" s="456"/>
      <c r="I103" s="456"/>
      <c r="J103" s="456"/>
      <c r="K103" s="456"/>
      <c r="L103" s="456"/>
      <c r="M103" s="456"/>
    </row>
    <row r="104" spans="1:13" x14ac:dyDescent="0.3">
      <c r="A104" s="456"/>
      <c r="B104" s="456"/>
      <c r="C104" s="456"/>
      <c r="D104" s="456"/>
      <c r="E104" s="456"/>
      <c r="F104" s="456"/>
      <c r="G104" s="456"/>
      <c r="H104" s="456"/>
      <c r="I104" s="456"/>
      <c r="J104" s="456"/>
      <c r="K104" s="456"/>
      <c r="L104" s="456"/>
      <c r="M104" s="456"/>
    </row>
    <row r="105" spans="1:13" x14ac:dyDescent="0.3">
      <c r="A105" s="456"/>
      <c r="B105" s="456"/>
      <c r="C105" s="456"/>
      <c r="D105" s="456"/>
      <c r="E105" s="456"/>
      <c r="F105" s="456"/>
      <c r="G105" s="456"/>
      <c r="H105" s="456"/>
      <c r="I105" s="456"/>
      <c r="J105" s="456"/>
      <c r="K105" s="456"/>
      <c r="L105" s="456"/>
      <c r="M105" s="456"/>
    </row>
    <row r="106" spans="1:13" x14ac:dyDescent="0.3">
      <c r="A106" s="456"/>
      <c r="B106" s="456"/>
      <c r="C106" s="456"/>
      <c r="D106" s="456"/>
      <c r="E106" s="456"/>
      <c r="F106" s="456"/>
      <c r="G106" s="456"/>
      <c r="H106" s="456"/>
      <c r="I106" s="456"/>
      <c r="J106" s="456"/>
      <c r="K106" s="456"/>
      <c r="L106" s="456"/>
      <c r="M106" s="456"/>
    </row>
    <row r="107" spans="1:13" x14ac:dyDescent="0.3">
      <c r="A107" s="456"/>
      <c r="B107" s="456"/>
      <c r="C107" s="456"/>
      <c r="D107" s="456"/>
      <c r="E107" s="456"/>
      <c r="F107" s="456"/>
      <c r="G107" s="456"/>
      <c r="H107" s="456"/>
      <c r="I107" s="456"/>
      <c r="J107" s="456"/>
      <c r="K107" s="456"/>
      <c r="L107" s="456"/>
      <c r="M107" s="456"/>
    </row>
    <row r="108" spans="1:13" x14ac:dyDescent="0.3">
      <c r="A108" s="456"/>
      <c r="B108" s="456"/>
      <c r="C108" s="456"/>
      <c r="D108" s="456"/>
      <c r="E108" s="456"/>
      <c r="F108" s="456"/>
      <c r="G108" s="456"/>
      <c r="H108" s="456"/>
      <c r="I108" s="456"/>
      <c r="J108" s="456"/>
      <c r="K108" s="456"/>
      <c r="L108" s="456"/>
      <c r="M108" s="456"/>
    </row>
    <row r="109" spans="1:13" ht="15" hidden="1" customHeight="1" x14ac:dyDescent="0.25">
      <c r="A109" s="460"/>
      <c r="B109" s="460"/>
      <c r="C109" s="460"/>
      <c r="D109" s="460"/>
      <c r="E109" s="460"/>
      <c r="F109" s="460"/>
      <c r="G109" s="460"/>
      <c r="H109" s="460"/>
      <c r="I109" s="460"/>
      <c r="J109" s="460"/>
      <c r="K109" s="460"/>
      <c r="L109" s="460"/>
      <c r="M109" s="460"/>
    </row>
    <row r="110" spans="1:13" ht="15" hidden="1" customHeight="1" x14ac:dyDescent="0.25">
      <c r="A110" s="460"/>
      <c r="B110" s="460"/>
      <c r="C110" s="460"/>
      <c r="D110" s="460"/>
      <c r="E110" s="460"/>
      <c r="F110" s="460"/>
      <c r="G110" s="460"/>
      <c r="H110" s="460"/>
      <c r="I110" s="460"/>
      <c r="J110" s="460"/>
      <c r="K110" s="460"/>
      <c r="L110" s="460"/>
      <c r="M110" s="460"/>
    </row>
    <row r="111" spans="1:13" ht="15" hidden="1" customHeight="1" x14ac:dyDescent="0.25">
      <c r="A111" s="460"/>
      <c r="B111" s="460"/>
      <c r="C111" s="460"/>
      <c r="D111" s="460"/>
      <c r="E111" s="460"/>
      <c r="F111" s="460"/>
      <c r="G111" s="460"/>
      <c r="H111" s="460"/>
      <c r="I111" s="460"/>
      <c r="J111" s="460"/>
      <c r="K111" s="460"/>
      <c r="L111" s="460"/>
      <c r="M111" s="460"/>
    </row>
    <row r="112" spans="1:13" ht="15" hidden="1" customHeight="1" x14ac:dyDescent="0.25">
      <c r="A112" s="460"/>
      <c r="B112" s="460"/>
      <c r="C112" s="460"/>
      <c r="D112" s="460"/>
      <c r="E112" s="460"/>
      <c r="F112" s="460"/>
      <c r="G112" s="460"/>
      <c r="H112" s="460"/>
      <c r="I112" s="460"/>
      <c r="J112" s="460"/>
      <c r="K112" s="460"/>
      <c r="L112" s="460"/>
      <c r="M112" s="460"/>
    </row>
    <row r="113" spans="1:13" ht="15" hidden="1" customHeight="1" x14ac:dyDescent="0.25">
      <c r="A113" s="460"/>
      <c r="B113" s="460"/>
      <c r="C113" s="460"/>
      <c r="D113" s="460"/>
      <c r="E113" s="460"/>
      <c r="F113" s="460"/>
      <c r="G113" s="460"/>
      <c r="H113" s="460"/>
      <c r="I113" s="460"/>
      <c r="J113" s="460"/>
      <c r="K113" s="460"/>
      <c r="L113" s="460"/>
      <c r="M113" s="460"/>
    </row>
    <row r="114" spans="1:13" ht="15" hidden="1" customHeight="1" x14ac:dyDescent="0.25">
      <c r="A114" s="460"/>
      <c r="B114" s="460"/>
      <c r="C114" s="460"/>
      <c r="D114" s="460"/>
      <c r="E114" s="460"/>
      <c r="F114" s="460"/>
      <c r="G114" s="460"/>
      <c r="H114" s="460"/>
      <c r="I114" s="460"/>
      <c r="J114" s="460"/>
      <c r="K114" s="460"/>
      <c r="L114" s="460"/>
      <c r="M114" s="460"/>
    </row>
    <row r="115" spans="1:13" ht="15" hidden="1" customHeight="1" x14ac:dyDescent="0.25">
      <c r="A115" s="460"/>
      <c r="B115" s="460"/>
      <c r="C115" s="460"/>
      <c r="D115" s="460"/>
      <c r="E115" s="460"/>
      <c r="F115" s="460"/>
      <c r="G115" s="460"/>
      <c r="H115" s="460"/>
      <c r="I115" s="460"/>
      <c r="J115" s="460"/>
      <c r="K115" s="460"/>
      <c r="L115" s="460"/>
      <c r="M115" s="460"/>
    </row>
    <row r="116" spans="1:13" ht="15" hidden="1" customHeight="1" x14ac:dyDescent="0.25">
      <c r="A116" s="460"/>
      <c r="B116" s="460"/>
      <c r="C116" s="460"/>
      <c r="D116" s="460"/>
      <c r="E116" s="460"/>
      <c r="F116" s="460"/>
      <c r="G116" s="460"/>
      <c r="H116" s="460"/>
      <c r="I116" s="460"/>
      <c r="J116" s="460"/>
      <c r="K116" s="460"/>
      <c r="L116" s="460"/>
      <c r="M116" s="460"/>
    </row>
    <row r="117" spans="1:13" ht="15" hidden="1" customHeight="1" x14ac:dyDescent="0.25">
      <c r="A117" s="460"/>
      <c r="B117" s="460"/>
      <c r="C117" s="460"/>
      <c r="D117" s="460"/>
      <c r="E117" s="460"/>
      <c r="F117" s="460"/>
      <c r="G117" s="460"/>
      <c r="H117" s="460"/>
      <c r="I117" s="460"/>
      <c r="J117" s="460"/>
      <c r="K117" s="460"/>
      <c r="L117" s="460"/>
      <c r="M117" s="460"/>
    </row>
    <row r="118" spans="1:13" ht="15" hidden="1" customHeight="1" x14ac:dyDescent="0.25">
      <c r="A118" s="460"/>
      <c r="B118" s="460"/>
      <c r="C118" s="460"/>
      <c r="D118" s="460"/>
      <c r="E118" s="460"/>
      <c r="F118" s="460"/>
      <c r="G118" s="460"/>
      <c r="H118" s="460"/>
      <c r="I118" s="460"/>
      <c r="J118" s="460"/>
      <c r="K118" s="460"/>
      <c r="L118" s="460"/>
      <c r="M118" s="460"/>
    </row>
    <row r="119" spans="1:13" ht="15" hidden="1" customHeight="1" x14ac:dyDescent="0.25">
      <c r="A119" s="460"/>
      <c r="B119" s="460"/>
      <c r="C119" s="460"/>
      <c r="D119" s="460"/>
      <c r="E119" s="460"/>
      <c r="F119" s="460"/>
      <c r="G119" s="460"/>
      <c r="H119" s="460"/>
      <c r="I119" s="460"/>
      <c r="J119" s="460"/>
      <c r="K119" s="460"/>
      <c r="L119" s="460"/>
      <c r="M119" s="460"/>
    </row>
    <row r="120" spans="1:13" ht="15" hidden="1" customHeight="1" x14ac:dyDescent="0.25">
      <c r="A120" s="460"/>
      <c r="B120" s="460"/>
      <c r="C120" s="460"/>
      <c r="D120" s="460"/>
      <c r="E120" s="460"/>
      <c r="F120" s="460"/>
      <c r="G120" s="460"/>
      <c r="H120" s="460"/>
      <c r="I120" s="460"/>
      <c r="J120" s="460"/>
      <c r="K120" s="460"/>
      <c r="L120" s="460"/>
      <c r="M120" s="460"/>
    </row>
    <row r="121" spans="1:13" ht="15" hidden="1" customHeight="1" x14ac:dyDescent="0.25">
      <c r="A121" s="460"/>
      <c r="B121" s="460"/>
      <c r="C121" s="460"/>
      <c r="D121" s="460"/>
      <c r="E121" s="460"/>
      <c r="F121" s="460"/>
      <c r="G121" s="460"/>
      <c r="H121" s="460"/>
      <c r="I121" s="460"/>
      <c r="J121" s="460"/>
      <c r="K121" s="460"/>
      <c r="L121" s="460"/>
      <c r="M121" s="460"/>
    </row>
    <row r="122" spans="1:13" ht="15" hidden="1" customHeight="1" x14ac:dyDescent="0.25">
      <c r="A122" s="460"/>
      <c r="B122" s="460"/>
      <c r="C122" s="460"/>
      <c r="D122" s="460"/>
      <c r="E122" s="460"/>
      <c r="F122" s="460"/>
      <c r="G122" s="460"/>
      <c r="H122" s="460"/>
      <c r="I122" s="460"/>
      <c r="J122" s="460"/>
      <c r="K122" s="460"/>
      <c r="L122" s="460"/>
      <c r="M122" s="460"/>
    </row>
    <row r="123" spans="1:13" ht="15" hidden="1" customHeight="1" x14ac:dyDescent="0.25">
      <c r="A123" s="460"/>
      <c r="B123" s="460"/>
      <c r="C123" s="460"/>
      <c r="D123" s="460"/>
      <c r="E123" s="460"/>
      <c r="F123" s="460"/>
      <c r="G123" s="460"/>
      <c r="H123" s="460"/>
      <c r="I123" s="460"/>
      <c r="J123" s="460"/>
      <c r="K123" s="460"/>
      <c r="L123" s="460"/>
      <c r="M123" s="460"/>
    </row>
    <row r="124" spans="1:13" ht="15" hidden="1" customHeight="1" x14ac:dyDescent="0.25">
      <c r="A124" s="460"/>
      <c r="B124" s="460"/>
      <c r="C124" s="460"/>
      <c r="D124" s="460"/>
      <c r="E124" s="460"/>
      <c r="F124" s="460"/>
      <c r="G124" s="460"/>
      <c r="H124" s="460"/>
      <c r="I124" s="460"/>
      <c r="J124" s="460"/>
      <c r="K124" s="460"/>
      <c r="L124" s="460"/>
      <c r="M124" s="460"/>
    </row>
    <row r="125" spans="1:13" ht="15" hidden="1" customHeight="1" x14ac:dyDescent="0.25">
      <c r="A125" s="460"/>
      <c r="B125" s="460"/>
      <c r="C125" s="460"/>
      <c r="D125" s="460"/>
      <c r="E125" s="460"/>
      <c r="F125" s="460"/>
      <c r="G125" s="460"/>
      <c r="H125" s="460"/>
      <c r="I125" s="460"/>
      <c r="J125" s="460"/>
      <c r="K125" s="460"/>
      <c r="L125" s="460"/>
      <c r="M125" s="460"/>
    </row>
    <row r="126" spans="1:13" ht="15" hidden="1" customHeight="1" x14ac:dyDescent="0.25">
      <c r="A126" s="460"/>
      <c r="B126" s="460"/>
      <c r="C126" s="460"/>
      <c r="D126" s="460"/>
      <c r="E126" s="460"/>
      <c r="F126" s="460"/>
      <c r="G126" s="460"/>
      <c r="H126" s="460"/>
      <c r="I126" s="460"/>
      <c r="J126" s="460"/>
      <c r="K126" s="460"/>
      <c r="L126" s="460"/>
      <c r="M126" s="460"/>
    </row>
    <row r="127" spans="1:13" ht="15" hidden="1" customHeight="1" x14ac:dyDescent="0.25">
      <c r="A127" s="460"/>
      <c r="B127" s="460"/>
      <c r="C127" s="460"/>
      <c r="D127" s="460"/>
      <c r="E127" s="460"/>
      <c r="F127" s="460"/>
      <c r="G127" s="460"/>
      <c r="H127" s="460"/>
      <c r="I127" s="460"/>
      <c r="J127" s="460"/>
      <c r="K127" s="460"/>
      <c r="L127" s="460"/>
      <c r="M127" s="460"/>
    </row>
    <row r="128" spans="1:13" ht="15" hidden="1" customHeight="1" x14ac:dyDescent="0.25">
      <c r="A128" s="460"/>
      <c r="B128" s="460"/>
      <c r="C128" s="460"/>
      <c r="D128" s="460"/>
      <c r="E128" s="460"/>
      <c r="F128" s="460"/>
      <c r="G128" s="460"/>
      <c r="H128" s="460"/>
      <c r="I128" s="460"/>
      <c r="J128" s="460"/>
      <c r="K128" s="460"/>
      <c r="L128" s="460"/>
      <c r="M128" s="460"/>
    </row>
    <row r="129" spans="1:13" ht="15" hidden="1" customHeight="1" x14ac:dyDescent="0.25">
      <c r="A129" s="460"/>
      <c r="B129" s="460"/>
      <c r="C129" s="460"/>
      <c r="D129" s="460"/>
      <c r="E129" s="460"/>
      <c r="F129" s="460"/>
      <c r="G129" s="460"/>
      <c r="H129" s="460"/>
      <c r="I129" s="460"/>
      <c r="J129" s="460"/>
      <c r="K129" s="460"/>
      <c r="L129" s="460"/>
      <c r="M129" s="460"/>
    </row>
    <row r="130" spans="1:13" x14ac:dyDescent="0.3">
      <c r="A130" s="460"/>
      <c r="B130" s="460"/>
      <c r="C130" s="460"/>
      <c r="D130" s="460"/>
      <c r="E130" s="460"/>
      <c r="F130" s="460"/>
      <c r="G130" s="460"/>
      <c r="H130" s="460"/>
      <c r="I130" s="460"/>
      <c r="J130" s="460"/>
      <c r="K130" s="460"/>
      <c r="L130" s="460"/>
      <c r="M130" s="460"/>
    </row>
    <row r="131" spans="1:13" x14ac:dyDescent="0.3">
      <c r="A131" s="460"/>
      <c r="B131" s="460"/>
      <c r="C131" s="460"/>
      <c r="D131" s="460"/>
      <c r="E131" s="460"/>
      <c r="F131" s="460"/>
      <c r="G131" s="460"/>
      <c r="H131" s="460"/>
      <c r="I131" s="460"/>
      <c r="J131" s="460"/>
      <c r="K131" s="460"/>
      <c r="L131" s="460"/>
      <c r="M131" s="460"/>
    </row>
    <row r="132" spans="1:13" x14ac:dyDescent="0.3">
      <c r="A132" s="460"/>
      <c r="B132" s="460"/>
      <c r="C132" s="460"/>
      <c r="D132" s="460"/>
      <c r="E132" s="460"/>
      <c r="F132" s="460"/>
      <c r="G132" s="460"/>
      <c r="H132" s="460"/>
      <c r="I132" s="460"/>
      <c r="J132" s="460"/>
      <c r="K132" s="460"/>
      <c r="L132" s="460"/>
      <c r="M132" s="460"/>
    </row>
    <row r="133" spans="1:13" x14ac:dyDescent="0.3">
      <c r="A133" s="460"/>
      <c r="B133" s="460"/>
      <c r="C133" s="460"/>
      <c r="D133" s="460"/>
      <c r="E133" s="460"/>
      <c r="F133" s="460"/>
      <c r="G133" s="460"/>
      <c r="H133" s="460"/>
      <c r="I133" s="460"/>
      <c r="J133" s="460"/>
      <c r="K133" s="460"/>
      <c r="L133" s="460"/>
      <c r="M133" s="460"/>
    </row>
    <row r="134" spans="1:13" ht="15" hidden="1" x14ac:dyDescent="0.25"/>
    <row r="135" spans="1:13" ht="15" hidden="1" customHeight="1" x14ac:dyDescent="0.25"/>
    <row r="136" spans="1:13" ht="15" hidden="1" customHeight="1" x14ac:dyDescent="0.25"/>
    <row r="137" spans="1:13" ht="15" hidden="1" x14ac:dyDescent="0.25"/>
    <row r="138" spans="1:13" ht="15" hidden="1" x14ac:dyDescent="0.25"/>
    <row r="139" spans="1:13" ht="15" hidden="1" x14ac:dyDescent="0.25"/>
    <row r="140" spans="1:13" ht="15" hidden="1" x14ac:dyDescent="0.25"/>
    <row r="141" spans="1:13" ht="15" hidden="1" x14ac:dyDescent="0.25"/>
    <row r="142" spans="1:13" ht="15" hidden="1" x14ac:dyDescent="0.25"/>
    <row r="143" spans="1:13" ht="15" hidden="1" x14ac:dyDescent="0.25"/>
    <row r="144" spans="1:13"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sheetData>
  <sheetProtection algorithmName="SHA-512" hashValue="Vt95LKE2tOM2diSjuH1MIv6e6jSNmF7VCAX4fatXfCxf6ZOzwxYMfQ2wF/cnzWTGMXDbSzbqyFOdcaebrvftdg==" saltValue="IT/fR28w92CHVLN7MI2Kag==" spinCount="100000" sheet="1" objects="1" scenarios="1"/>
  <mergeCells count="38">
    <mergeCell ref="A99:M133"/>
    <mergeCell ref="B78:M79"/>
    <mergeCell ref="D81:M82"/>
    <mergeCell ref="D83:M84"/>
    <mergeCell ref="G95:M97"/>
    <mergeCell ref="G89:M91"/>
    <mergeCell ref="F37:L38"/>
    <mergeCell ref="A23:M23"/>
    <mergeCell ref="G29:M31"/>
    <mergeCell ref="G71:M77"/>
    <mergeCell ref="F39:L40"/>
    <mergeCell ref="F41:L42"/>
    <mergeCell ref="F43:L44"/>
    <mergeCell ref="F45:L46"/>
    <mergeCell ref="G56:M58"/>
    <mergeCell ref="G47:M49"/>
    <mergeCell ref="E70:K70"/>
    <mergeCell ref="A13:G13"/>
    <mergeCell ref="A7:D7"/>
    <mergeCell ref="B25:M25"/>
    <mergeCell ref="B32:M32"/>
    <mergeCell ref="F35:L36"/>
    <mergeCell ref="F7:K7"/>
    <mergeCell ref="H13:L13"/>
    <mergeCell ref="D21:L21"/>
    <mergeCell ref="A12:G12"/>
    <mergeCell ref="H12:L12"/>
    <mergeCell ref="A1:M1"/>
    <mergeCell ref="K2:L2"/>
    <mergeCell ref="A3:M3"/>
    <mergeCell ref="A5:D5"/>
    <mergeCell ref="F5:K5"/>
    <mergeCell ref="A6:D6"/>
    <mergeCell ref="F6:K6"/>
    <mergeCell ref="A10:G10"/>
    <mergeCell ref="H10:L10"/>
    <mergeCell ref="A11:G11"/>
    <mergeCell ref="H11:L11"/>
  </mergeCells>
  <dataValidations count="9">
    <dataValidation type="list" allowBlank="1" showInputMessage="1" showErrorMessage="1" sqref="B93:B94 IX93:IX94 ST93:ST94 ACP93:ACP94 AML93:AML94 AWH93:AWH94 BGD93:BGD94 BPZ93:BPZ94 BZV93:BZV94 CJR93:CJR94 CTN93:CTN94 DDJ93:DDJ94 DNF93:DNF94 DXB93:DXB94 EGX93:EGX94 EQT93:EQT94 FAP93:FAP94 FKL93:FKL94 FUH93:FUH94 GED93:GED94 GNZ93:GNZ94 GXV93:GXV94 HHR93:HHR94 HRN93:HRN94 IBJ93:IBJ94 ILF93:ILF94 IVB93:IVB94 JEX93:JEX94 JOT93:JOT94 JYP93:JYP94 KIL93:KIL94 KSH93:KSH94 LCD93:LCD94 LLZ93:LLZ94 LVV93:LVV94 MFR93:MFR94 MPN93:MPN94 MZJ93:MZJ94 NJF93:NJF94 NTB93:NTB94 OCX93:OCX94 OMT93:OMT94 OWP93:OWP94 PGL93:PGL94 PQH93:PQH94 QAD93:QAD94 QJZ93:QJZ94 QTV93:QTV94 RDR93:RDR94 RNN93:RNN94 RXJ93:RXJ94 SHF93:SHF94 SRB93:SRB94 TAX93:TAX94 TKT93:TKT94 TUP93:TUP94 UEL93:UEL94 UOH93:UOH94 UYD93:UYD94 VHZ93:VHZ94 VRV93:VRV94 WBR93:WBR94 WLN93:WLN94 WVJ93:WVJ94 B65630:B65631 IX65630:IX65631 ST65630:ST65631 ACP65630:ACP65631 AML65630:AML65631 AWH65630:AWH65631 BGD65630:BGD65631 BPZ65630:BPZ65631 BZV65630:BZV65631 CJR65630:CJR65631 CTN65630:CTN65631 DDJ65630:DDJ65631 DNF65630:DNF65631 DXB65630:DXB65631 EGX65630:EGX65631 EQT65630:EQT65631 FAP65630:FAP65631 FKL65630:FKL65631 FUH65630:FUH65631 GED65630:GED65631 GNZ65630:GNZ65631 GXV65630:GXV65631 HHR65630:HHR65631 HRN65630:HRN65631 IBJ65630:IBJ65631 ILF65630:ILF65631 IVB65630:IVB65631 JEX65630:JEX65631 JOT65630:JOT65631 JYP65630:JYP65631 KIL65630:KIL65631 KSH65630:KSH65631 LCD65630:LCD65631 LLZ65630:LLZ65631 LVV65630:LVV65631 MFR65630:MFR65631 MPN65630:MPN65631 MZJ65630:MZJ65631 NJF65630:NJF65631 NTB65630:NTB65631 OCX65630:OCX65631 OMT65630:OMT65631 OWP65630:OWP65631 PGL65630:PGL65631 PQH65630:PQH65631 QAD65630:QAD65631 QJZ65630:QJZ65631 QTV65630:QTV65631 RDR65630:RDR65631 RNN65630:RNN65631 RXJ65630:RXJ65631 SHF65630:SHF65631 SRB65630:SRB65631 TAX65630:TAX65631 TKT65630:TKT65631 TUP65630:TUP65631 UEL65630:UEL65631 UOH65630:UOH65631 UYD65630:UYD65631 VHZ65630:VHZ65631 VRV65630:VRV65631 WBR65630:WBR65631 WLN65630:WLN65631 WVJ65630:WVJ65631 B131166:B131167 IX131166:IX131167 ST131166:ST131167 ACP131166:ACP131167 AML131166:AML131167 AWH131166:AWH131167 BGD131166:BGD131167 BPZ131166:BPZ131167 BZV131166:BZV131167 CJR131166:CJR131167 CTN131166:CTN131167 DDJ131166:DDJ131167 DNF131166:DNF131167 DXB131166:DXB131167 EGX131166:EGX131167 EQT131166:EQT131167 FAP131166:FAP131167 FKL131166:FKL131167 FUH131166:FUH131167 GED131166:GED131167 GNZ131166:GNZ131167 GXV131166:GXV131167 HHR131166:HHR131167 HRN131166:HRN131167 IBJ131166:IBJ131167 ILF131166:ILF131167 IVB131166:IVB131167 JEX131166:JEX131167 JOT131166:JOT131167 JYP131166:JYP131167 KIL131166:KIL131167 KSH131166:KSH131167 LCD131166:LCD131167 LLZ131166:LLZ131167 LVV131166:LVV131167 MFR131166:MFR131167 MPN131166:MPN131167 MZJ131166:MZJ131167 NJF131166:NJF131167 NTB131166:NTB131167 OCX131166:OCX131167 OMT131166:OMT131167 OWP131166:OWP131167 PGL131166:PGL131167 PQH131166:PQH131167 QAD131166:QAD131167 QJZ131166:QJZ131167 QTV131166:QTV131167 RDR131166:RDR131167 RNN131166:RNN131167 RXJ131166:RXJ131167 SHF131166:SHF131167 SRB131166:SRB131167 TAX131166:TAX131167 TKT131166:TKT131167 TUP131166:TUP131167 UEL131166:UEL131167 UOH131166:UOH131167 UYD131166:UYD131167 VHZ131166:VHZ131167 VRV131166:VRV131167 WBR131166:WBR131167 WLN131166:WLN131167 WVJ131166:WVJ131167 B196702:B196703 IX196702:IX196703 ST196702:ST196703 ACP196702:ACP196703 AML196702:AML196703 AWH196702:AWH196703 BGD196702:BGD196703 BPZ196702:BPZ196703 BZV196702:BZV196703 CJR196702:CJR196703 CTN196702:CTN196703 DDJ196702:DDJ196703 DNF196702:DNF196703 DXB196702:DXB196703 EGX196702:EGX196703 EQT196702:EQT196703 FAP196702:FAP196703 FKL196702:FKL196703 FUH196702:FUH196703 GED196702:GED196703 GNZ196702:GNZ196703 GXV196702:GXV196703 HHR196702:HHR196703 HRN196702:HRN196703 IBJ196702:IBJ196703 ILF196702:ILF196703 IVB196702:IVB196703 JEX196702:JEX196703 JOT196702:JOT196703 JYP196702:JYP196703 KIL196702:KIL196703 KSH196702:KSH196703 LCD196702:LCD196703 LLZ196702:LLZ196703 LVV196702:LVV196703 MFR196702:MFR196703 MPN196702:MPN196703 MZJ196702:MZJ196703 NJF196702:NJF196703 NTB196702:NTB196703 OCX196702:OCX196703 OMT196702:OMT196703 OWP196702:OWP196703 PGL196702:PGL196703 PQH196702:PQH196703 QAD196702:QAD196703 QJZ196702:QJZ196703 QTV196702:QTV196703 RDR196702:RDR196703 RNN196702:RNN196703 RXJ196702:RXJ196703 SHF196702:SHF196703 SRB196702:SRB196703 TAX196702:TAX196703 TKT196702:TKT196703 TUP196702:TUP196703 UEL196702:UEL196703 UOH196702:UOH196703 UYD196702:UYD196703 VHZ196702:VHZ196703 VRV196702:VRV196703 WBR196702:WBR196703 WLN196702:WLN196703 WVJ196702:WVJ196703 B262238:B262239 IX262238:IX262239 ST262238:ST262239 ACP262238:ACP262239 AML262238:AML262239 AWH262238:AWH262239 BGD262238:BGD262239 BPZ262238:BPZ262239 BZV262238:BZV262239 CJR262238:CJR262239 CTN262238:CTN262239 DDJ262238:DDJ262239 DNF262238:DNF262239 DXB262238:DXB262239 EGX262238:EGX262239 EQT262238:EQT262239 FAP262238:FAP262239 FKL262238:FKL262239 FUH262238:FUH262239 GED262238:GED262239 GNZ262238:GNZ262239 GXV262238:GXV262239 HHR262238:HHR262239 HRN262238:HRN262239 IBJ262238:IBJ262239 ILF262238:ILF262239 IVB262238:IVB262239 JEX262238:JEX262239 JOT262238:JOT262239 JYP262238:JYP262239 KIL262238:KIL262239 KSH262238:KSH262239 LCD262238:LCD262239 LLZ262238:LLZ262239 LVV262238:LVV262239 MFR262238:MFR262239 MPN262238:MPN262239 MZJ262238:MZJ262239 NJF262238:NJF262239 NTB262238:NTB262239 OCX262238:OCX262239 OMT262238:OMT262239 OWP262238:OWP262239 PGL262238:PGL262239 PQH262238:PQH262239 QAD262238:QAD262239 QJZ262238:QJZ262239 QTV262238:QTV262239 RDR262238:RDR262239 RNN262238:RNN262239 RXJ262238:RXJ262239 SHF262238:SHF262239 SRB262238:SRB262239 TAX262238:TAX262239 TKT262238:TKT262239 TUP262238:TUP262239 UEL262238:UEL262239 UOH262238:UOH262239 UYD262238:UYD262239 VHZ262238:VHZ262239 VRV262238:VRV262239 WBR262238:WBR262239 WLN262238:WLN262239 WVJ262238:WVJ262239 B327774:B327775 IX327774:IX327775 ST327774:ST327775 ACP327774:ACP327775 AML327774:AML327775 AWH327774:AWH327775 BGD327774:BGD327775 BPZ327774:BPZ327775 BZV327774:BZV327775 CJR327774:CJR327775 CTN327774:CTN327775 DDJ327774:DDJ327775 DNF327774:DNF327775 DXB327774:DXB327775 EGX327774:EGX327775 EQT327774:EQT327775 FAP327774:FAP327775 FKL327774:FKL327775 FUH327774:FUH327775 GED327774:GED327775 GNZ327774:GNZ327775 GXV327774:GXV327775 HHR327774:HHR327775 HRN327774:HRN327775 IBJ327774:IBJ327775 ILF327774:ILF327775 IVB327774:IVB327775 JEX327774:JEX327775 JOT327774:JOT327775 JYP327774:JYP327775 KIL327774:KIL327775 KSH327774:KSH327775 LCD327774:LCD327775 LLZ327774:LLZ327775 LVV327774:LVV327775 MFR327774:MFR327775 MPN327774:MPN327775 MZJ327774:MZJ327775 NJF327774:NJF327775 NTB327774:NTB327775 OCX327774:OCX327775 OMT327774:OMT327775 OWP327774:OWP327775 PGL327774:PGL327775 PQH327774:PQH327775 QAD327774:QAD327775 QJZ327774:QJZ327775 QTV327774:QTV327775 RDR327774:RDR327775 RNN327774:RNN327775 RXJ327774:RXJ327775 SHF327774:SHF327775 SRB327774:SRB327775 TAX327774:TAX327775 TKT327774:TKT327775 TUP327774:TUP327775 UEL327774:UEL327775 UOH327774:UOH327775 UYD327774:UYD327775 VHZ327774:VHZ327775 VRV327774:VRV327775 WBR327774:WBR327775 WLN327774:WLN327775 WVJ327774:WVJ327775 B393310:B393311 IX393310:IX393311 ST393310:ST393311 ACP393310:ACP393311 AML393310:AML393311 AWH393310:AWH393311 BGD393310:BGD393311 BPZ393310:BPZ393311 BZV393310:BZV393311 CJR393310:CJR393311 CTN393310:CTN393311 DDJ393310:DDJ393311 DNF393310:DNF393311 DXB393310:DXB393311 EGX393310:EGX393311 EQT393310:EQT393311 FAP393310:FAP393311 FKL393310:FKL393311 FUH393310:FUH393311 GED393310:GED393311 GNZ393310:GNZ393311 GXV393310:GXV393311 HHR393310:HHR393311 HRN393310:HRN393311 IBJ393310:IBJ393311 ILF393310:ILF393311 IVB393310:IVB393311 JEX393310:JEX393311 JOT393310:JOT393311 JYP393310:JYP393311 KIL393310:KIL393311 KSH393310:KSH393311 LCD393310:LCD393311 LLZ393310:LLZ393311 LVV393310:LVV393311 MFR393310:MFR393311 MPN393310:MPN393311 MZJ393310:MZJ393311 NJF393310:NJF393311 NTB393310:NTB393311 OCX393310:OCX393311 OMT393310:OMT393311 OWP393310:OWP393311 PGL393310:PGL393311 PQH393310:PQH393311 QAD393310:QAD393311 QJZ393310:QJZ393311 QTV393310:QTV393311 RDR393310:RDR393311 RNN393310:RNN393311 RXJ393310:RXJ393311 SHF393310:SHF393311 SRB393310:SRB393311 TAX393310:TAX393311 TKT393310:TKT393311 TUP393310:TUP393311 UEL393310:UEL393311 UOH393310:UOH393311 UYD393310:UYD393311 VHZ393310:VHZ393311 VRV393310:VRV393311 WBR393310:WBR393311 WLN393310:WLN393311 WVJ393310:WVJ393311 B458846:B458847 IX458846:IX458847 ST458846:ST458847 ACP458846:ACP458847 AML458846:AML458847 AWH458846:AWH458847 BGD458846:BGD458847 BPZ458846:BPZ458847 BZV458846:BZV458847 CJR458846:CJR458847 CTN458846:CTN458847 DDJ458846:DDJ458847 DNF458846:DNF458847 DXB458846:DXB458847 EGX458846:EGX458847 EQT458846:EQT458847 FAP458846:FAP458847 FKL458846:FKL458847 FUH458846:FUH458847 GED458846:GED458847 GNZ458846:GNZ458847 GXV458846:GXV458847 HHR458846:HHR458847 HRN458846:HRN458847 IBJ458846:IBJ458847 ILF458846:ILF458847 IVB458846:IVB458847 JEX458846:JEX458847 JOT458846:JOT458847 JYP458846:JYP458847 KIL458846:KIL458847 KSH458846:KSH458847 LCD458846:LCD458847 LLZ458846:LLZ458847 LVV458846:LVV458847 MFR458846:MFR458847 MPN458846:MPN458847 MZJ458846:MZJ458847 NJF458846:NJF458847 NTB458846:NTB458847 OCX458846:OCX458847 OMT458846:OMT458847 OWP458846:OWP458847 PGL458846:PGL458847 PQH458846:PQH458847 QAD458846:QAD458847 QJZ458846:QJZ458847 QTV458846:QTV458847 RDR458846:RDR458847 RNN458846:RNN458847 RXJ458846:RXJ458847 SHF458846:SHF458847 SRB458846:SRB458847 TAX458846:TAX458847 TKT458846:TKT458847 TUP458846:TUP458847 UEL458846:UEL458847 UOH458846:UOH458847 UYD458846:UYD458847 VHZ458846:VHZ458847 VRV458846:VRV458847 WBR458846:WBR458847 WLN458846:WLN458847 WVJ458846:WVJ458847 B524382:B524383 IX524382:IX524383 ST524382:ST524383 ACP524382:ACP524383 AML524382:AML524383 AWH524382:AWH524383 BGD524382:BGD524383 BPZ524382:BPZ524383 BZV524382:BZV524383 CJR524382:CJR524383 CTN524382:CTN524383 DDJ524382:DDJ524383 DNF524382:DNF524383 DXB524382:DXB524383 EGX524382:EGX524383 EQT524382:EQT524383 FAP524382:FAP524383 FKL524382:FKL524383 FUH524382:FUH524383 GED524382:GED524383 GNZ524382:GNZ524383 GXV524382:GXV524383 HHR524382:HHR524383 HRN524382:HRN524383 IBJ524382:IBJ524383 ILF524382:ILF524383 IVB524382:IVB524383 JEX524382:JEX524383 JOT524382:JOT524383 JYP524382:JYP524383 KIL524382:KIL524383 KSH524382:KSH524383 LCD524382:LCD524383 LLZ524382:LLZ524383 LVV524382:LVV524383 MFR524382:MFR524383 MPN524382:MPN524383 MZJ524382:MZJ524383 NJF524382:NJF524383 NTB524382:NTB524383 OCX524382:OCX524383 OMT524382:OMT524383 OWP524382:OWP524383 PGL524382:PGL524383 PQH524382:PQH524383 QAD524382:QAD524383 QJZ524382:QJZ524383 QTV524382:QTV524383 RDR524382:RDR524383 RNN524382:RNN524383 RXJ524382:RXJ524383 SHF524382:SHF524383 SRB524382:SRB524383 TAX524382:TAX524383 TKT524382:TKT524383 TUP524382:TUP524383 UEL524382:UEL524383 UOH524382:UOH524383 UYD524382:UYD524383 VHZ524382:VHZ524383 VRV524382:VRV524383 WBR524382:WBR524383 WLN524382:WLN524383 WVJ524382:WVJ524383 B589918:B589919 IX589918:IX589919 ST589918:ST589919 ACP589918:ACP589919 AML589918:AML589919 AWH589918:AWH589919 BGD589918:BGD589919 BPZ589918:BPZ589919 BZV589918:BZV589919 CJR589918:CJR589919 CTN589918:CTN589919 DDJ589918:DDJ589919 DNF589918:DNF589919 DXB589918:DXB589919 EGX589918:EGX589919 EQT589918:EQT589919 FAP589918:FAP589919 FKL589918:FKL589919 FUH589918:FUH589919 GED589918:GED589919 GNZ589918:GNZ589919 GXV589918:GXV589919 HHR589918:HHR589919 HRN589918:HRN589919 IBJ589918:IBJ589919 ILF589918:ILF589919 IVB589918:IVB589919 JEX589918:JEX589919 JOT589918:JOT589919 JYP589918:JYP589919 KIL589918:KIL589919 KSH589918:KSH589919 LCD589918:LCD589919 LLZ589918:LLZ589919 LVV589918:LVV589919 MFR589918:MFR589919 MPN589918:MPN589919 MZJ589918:MZJ589919 NJF589918:NJF589919 NTB589918:NTB589919 OCX589918:OCX589919 OMT589918:OMT589919 OWP589918:OWP589919 PGL589918:PGL589919 PQH589918:PQH589919 QAD589918:QAD589919 QJZ589918:QJZ589919 QTV589918:QTV589919 RDR589918:RDR589919 RNN589918:RNN589919 RXJ589918:RXJ589919 SHF589918:SHF589919 SRB589918:SRB589919 TAX589918:TAX589919 TKT589918:TKT589919 TUP589918:TUP589919 UEL589918:UEL589919 UOH589918:UOH589919 UYD589918:UYD589919 VHZ589918:VHZ589919 VRV589918:VRV589919 WBR589918:WBR589919 WLN589918:WLN589919 WVJ589918:WVJ589919 B655454:B655455 IX655454:IX655455 ST655454:ST655455 ACP655454:ACP655455 AML655454:AML655455 AWH655454:AWH655455 BGD655454:BGD655455 BPZ655454:BPZ655455 BZV655454:BZV655455 CJR655454:CJR655455 CTN655454:CTN655455 DDJ655454:DDJ655455 DNF655454:DNF655455 DXB655454:DXB655455 EGX655454:EGX655455 EQT655454:EQT655455 FAP655454:FAP655455 FKL655454:FKL655455 FUH655454:FUH655455 GED655454:GED655455 GNZ655454:GNZ655455 GXV655454:GXV655455 HHR655454:HHR655455 HRN655454:HRN655455 IBJ655454:IBJ655455 ILF655454:ILF655455 IVB655454:IVB655455 JEX655454:JEX655455 JOT655454:JOT655455 JYP655454:JYP655455 KIL655454:KIL655455 KSH655454:KSH655455 LCD655454:LCD655455 LLZ655454:LLZ655455 LVV655454:LVV655455 MFR655454:MFR655455 MPN655454:MPN655455 MZJ655454:MZJ655455 NJF655454:NJF655455 NTB655454:NTB655455 OCX655454:OCX655455 OMT655454:OMT655455 OWP655454:OWP655455 PGL655454:PGL655455 PQH655454:PQH655455 QAD655454:QAD655455 QJZ655454:QJZ655455 QTV655454:QTV655455 RDR655454:RDR655455 RNN655454:RNN655455 RXJ655454:RXJ655455 SHF655454:SHF655455 SRB655454:SRB655455 TAX655454:TAX655455 TKT655454:TKT655455 TUP655454:TUP655455 UEL655454:UEL655455 UOH655454:UOH655455 UYD655454:UYD655455 VHZ655454:VHZ655455 VRV655454:VRV655455 WBR655454:WBR655455 WLN655454:WLN655455 WVJ655454:WVJ655455 B720990:B720991 IX720990:IX720991 ST720990:ST720991 ACP720990:ACP720991 AML720990:AML720991 AWH720990:AWH720991 BGD720990:BGD720991 BPZ720990:BPZ720991 BZV720990:BZV720991 CJR720990:CJR720991 CTN720990:CTN720991 DDJ720990:DDJ720991 DNF720990:DNF720991 DXB720990:DXB720991 EGX720990:EGX720991 EQT720990:EQT720991 FAP720990:FAP720991 FKL720990:FKL720991 FUH720990:FUH720991 GED720990:GED720991 GNZ720990:GNZ720991 GXV720990:GXV720991 HHR720990:HHR720991 HRN720990:HRN720991 IBJ720990:IBJ720991 ILF720990:ILF720991 IVB720990:IVB720991 JEX720990:JEX720991 JOT720990:JOT720991 JYP720990:JYP720991 KIL720990:KIL720991 KSH720990:KSH720991 LCD720990:LCD720991 LLZ720990:LLZ720991 LVV720990:LVV720991 MFR720990:MFR720991 MPN720990:MPN720991 MZJ720990:MZJ720991 NJF720990:NJF720991 NTB720990:NTB720991 OCX720990:OCX720991 OMT720990:OMT720991 OWP720990:OWP720991 PGL720990:PGL720991 PQH720990:PQH720991 QAD720990:QAD720991 QJZ720990:QJZ720991 QTV720990:QTV720991 RDR720990:RDR720991 RNN720990:RNN720991 RXJ720990:RXJ720991 SHF720990:SHF720991 SRB720990:SRB720991 TAX720990:TAX720991 TKT720990:TKT720991 TUP720990:TUP720991 UEL720990:UEL720991 UOH720990:UOH720991 UYD720990:UYD720991 VHZ720990:VHZ720991 VRV720990:VRV720991 WBR720990:WBR720991 WLN720990:WLN720991 WVJ720990:WVJ720991 B786526:B786527 IX786526:IX786527 ST786526:ST786527 ACP786526:ACP786527 AML786526:AML786527 AWH786526:AWH786527 BGD786526:BGD786527 BPZ786526:BPZ786527 BZV786526:BZV786527 CJR786526:CJR786527 CTN786526:CTN786527 DDJ786526:DDJ786527 DNF786526:DNF786527 DXB786526:DXB786527 EGX786526:EGX786527 EQT786526:EQT786527 FAP786526:FAP786527 FKL786526:FKL786527 FUH786526:FUH786527 GED786526:GED786527 GNZ786526:GNZ786527 GXV786526:GXV786527 HHR786526:HHR786527 HRN786526:HRN786527 IBJ786526:IBJ786527 ILF786526:ILF786527 IVB786526:IVB786527 JEX786526:JEX786527 JOT786526:JOT786527 JYP786526:JYP786527 KIL786526:KIL786527 KSH786526:KSH786527 LCD786526:LCD786527 LLZ786526:LLZ786527 LVV786526:LVV786527 MFR786526:MFR786527 MPN786526:MPN786527 MZJ786526:MZJ786527 NJF786526:NJF786527 NTB786526:NTB786527 OCX786526:OCX786527 OMT786526:OMT786527 OWP786526:OWP786527 PGL786526:PGL786527 PQH786526:PQH786527 QAD786526:QAD786527 QJZ786526:QJZ786527 QTV786526:QTV786527 RDR786526:RDR786527 RNN786526:RNN786527 RXJ786526:RXJ786527 SHF786526:SHF786527 SRB786526:SRB786527 TAX786526:TAX786527 TKT786526:TKT786527 TUP786526:TUP786527 UEL786526:UEL786527 UOH786526:UOH786527 UYD786526:UYD786527 VHZ786526:VHZ786527 VRV786526:VRV786527 WBR786526:WBR786527 WLN786526:WLN786527 WVJ786526:WVJ786527 B852062:B852063 IX852062:IX852063 ST852062:ST852063 ACP852062:ACP852063 AML852062:AML852063 AWH852062:AWH852063 BGD852062:BGD852063 BPZ852062:BPZ852063 BZV852062:BZV852063 CJR852062:CJR852063 CTN852062:CTN852063 DDJ852062:DDJ852063 DNF852062:DNF852063 DXB852062:DXB852063 EGX852062:EGX852063 EQT852062:EQT852063 FAP852062:FAP852063 FKL852062:FKL852063 FUH852062:FUH852063 GED852062:GED852063 GNZ852062:GNZ852063 GXV852062:GXV852063 HHR852062:HHR852063 HRN852062:HRN852063 IBJ852062:IBJ852063 ILF852062:ILF852063 IVB852062:IVB852063 JEX852062:JEX852063 JOT852062:JOT852063 JYP852062:JYP852063 KIL852062:KIL852063 KSH852062:KSH852063 LCD852062:LCD852063 LLZ852062:LLZ852063 LVV852062:LVV852063 MFR852062:MFR852063 MPN852062:MPN852063 MZJ852062:MZJ852063 NJF852062:NJF852063 NTB852062:NTB852063 OCX852062:OCX852063 OMT852062:OMT852063 OWP852062:OWP852063 PGL852062:PGL852063 PQH852062:PQH852063 QAD852062:QAD852063 QJZ852062:QJZ852063 QTV852062:QTV852063 RDR852062:RDR852063 RNN852062:RNN852063 RXJ852062:RXJ852063 SHF852062:SHF852063 SRB852062:SRB852063 TAX852062:TAX852063 TKT852062:TKT852063 TUP852062:TUP852063 UEL852062:UEL852063 UOH852062:UOH852063 UYD852062:UYD852063 VHZ852062:VHZ852063 VRV852062:VRV852063 WBR852062:WBR852063 WLN852062:WLN852063 WVJ852062:WVJ852063 B917598:B917599 IX917598:IX917599 ST917598:ST917599 ACP917598:ACP917599 AML917598:AML917599 AWH917598:AWH917599 BGD917598:BGD917599 BPZ917598:BPZ917599 BZV917598:BZV917599 CJR917598:CJR917599 CTN917598:CTN917599 DDJ917598:DDJ917599 DNF917598:DNF917599 DXB917598:DXB917599 EGX917598:EGX917599 EQT917598:EQT917599 FAP917598:FAP917599 FKL917598:FKL917599 FUH917598:FUH917599 GED917598:GED917599 GNZ917598:GNZ917599 GXV917598:GXV917599 HHR917598:HHR917599 HRN917598:HRN917599 IBJ917598:IBJ917599 ILF917598:ILF917599 IVB917598:IVB917599 JEX917598:JEX917599 JOT917598:JOT917599 JYP917598:JYP917599 KIL917598:KIL917599 KSH917598:KSH917599 LCD917598:LCD917599 LLZ917598:LLZ917599 LVV917598:LVV917599 MFR917598:MFR917599 MPN917598:MPN917599 MZJ917598:MZJ917599 NJF917598:NJF917599 NTB917598:NTB917599 OCX917598:OCX917599 OMT917598:OMT917599 OWP917598:OWP917599 PGL917598:PGL917599 PQH917598:PQH917599 QAD917598:QAD917599 QJZ917598:QJZ917599 QTV917598:QTV917599 RDR917598:RDR917599 RNN917598:RNN917599 RXJ917598:RXJ917599 SHF917598:SHF917599 SRB917598:SRB917599 TAX917598:TAX917599 TKT917598:TKT917599 TUP917598:TUP917599 UEL917598:UEL917599 UOH917598:UOH917599 UYD917598:UYD917599 VHZ917598:VHZ917599 VRV917598:VRV917599 WBR917598:WBR917599 WLN917598:WLN917599 WVJ917598:WVJ917599 B983134:B983135 IX983134:IX983135 ST983134:ST983135 ACP983134:ACP983135 AML983134:AML983135 AWH983134:AWH983135 BGD983134:BGD983135 BPZ983134:BPZ983135 BZV983134:BZV983135 CJR983134:CJR983135 CTN983134:CTN983135 DDJ983134:DDJ983135 DNF983134:DNF983135 DXB983134:DXB983135 EGX983134:EGX983135 EQT983134:EQT983135 FAP983134:FAP983135 FKL983134:FKL983135 FUH983134:FUH983135 GED983134:GED983135 GNZ983134:GNZ983135 GXV983134:GXV983135 HHR983134:HHR983135 HRN983134:HRN983135 IBJ983134:IBJ983135 ILF983134:ILF983135 IVB983134:IVB983135 JEX983134:JEX983135 JOT983134:JOT983135 JYP983134:JYP983135 KIL983134:KIL983135 KSH983134:KSH983135 LCD983134:LCD983135 LLZ983134:LLZ983135 LVV983134:LVV983135 MFR983134:MFR983135 MPN983134:MPN983135 MZJ983134:MZJ983135 NJF983134:NJF983135 NTB983134:NTB983135 OCX983134:OCX983135 OMT983134:OMT983135 OWP983134:OWP983135 PGL983134:PGL983135 PQH983134:PQH983135 QAD983134:QAD983135 QJZ983134:QJZ983135 QTV983134:QTV983135 RDR983134:RDR983135 RNN983134:RNN983135 RXJ983134:RXJ983135 SHF983134:SHF983135 SRB983134:SRB983135 TAX983134:TAX983135 TKT983134:TKT983135 TUP983134:TUP983135 UEL983134:UEL983135 UOH983134:UOH983135 UYD983134:UYD983135 VHZ983134:VHZ983135 VRV983134:VRV983135 WBR983134:WBR983135 WLN983134:WLN983135 WVJ983134:WVJ983135">
      <formula1>$R$94</formula1>
    </dataValidation>
    <dataValidation type="list" allowBlank="1" showInputMessage="1" showErrorMessage="1" sqref="B80:B81 IX80:IX81 ST80:ST81 ACP80:ACP81 AML80:AML81 AWH80:AWH81 BGD80:BGD81 BPZ80:BPZ81 BZV80:BZV81 CJR80:CJR81 CTN80:CTN81 DDJ80:DDJ81 DNF80:DNF81 DXB80:DXB81 EGX80:EGX81 EQT80:EQT81 FAP80:FAP81 FKL80:FKL81 FUH80:FUH81 GED80:GED81 GNZ80:GNZ81 GXV80:GXV81 HHR80:HHR81 HRN80:HRN81 IBJ80:IBJ81 ILF80:ILF81 IVB80:IVB81 JEX80:JEX81 JOT80:JOT81 JYP80:JYP81 KIL80:KIL81 KSH80:KSH81 LCD80:LCD81 LLZ80:LLZ81 LVV80:LVV81 MFR80:MFR81 MPN80:MPN81 MZJ80:MZJ81 NJF80:NJF81 NTB80:NTB81 OCX80:OCX81 OMT80:OMT81 OWP80:OWP81 PGL80:PGL81 PQH80:PQH81 QAD80:QAD81 QJZ80:QJZ81 QTV80:QTV81 RDR80:RDR81 RNN80:RNN81 RXJ80:RXJ81 SHF80:SHF81 SRB80:SRB81 TAX80:TAX81 TKT80:TKT81 TUP80:TUP81 UEL80:UEL81 UOH80:UOH81 UYD80:UYD81 VHZ80:VHZ81 VRV80:VRV81 WBR80:WBR81 WLN80:WLN81 WVJ80:WVJ81 B65617:B65618 IX65617:IX65618 ST65617:ST65618 ACP65617:ACP65618 AML65617:AML65618 AWH65617:AWH65618 BGD65617:BGD65618 BPZ65617:BPZ65618 BZV65617:BZV65618 CJR65617:CJR65618 CTN65617:CTN65618 DDJ65617:DDJ65618 DNF65617:DNF65618 DXB65617:DXB65618 EGX65617:EGX65618 EQT65617:EQT65618 FAP65617:FAP65618 FKL65617:FKL65618 FUH65617:FUH65618 GED65617:GED65618 GNZ65617:GNZ65618 GXV65617:GXV65618 HHR65617:HHR65618 HRN65617:HRN65618 IBJ65617:IBJ65618 ILF65617:ILF65618 IVB65617:IVB65618 JEX65617:JEX65618 JOT65617:JOT65618 JYP65617:JYP65618 KIL65617:KIL65618 KSH65617:KSH65618 LCD65617:LCD65618 LLZ65617:LLZ65618 LVV65617:LVV65618 MFR65617:MFR65618 MPN65617:MPN65618 MZJ65617:MZJ65618 NJF65617:NJF65618 NTB65617:NTB65618 OCX65617:OCX65618 OMT65617:OMT65618 OWP65617:OWP65618 PGL65617:PGL65618 PQH65617:PQH65618 QAD65617:QAD65618 QJZ65617:QJZ65618 QTV65617:QTV65618 RDR65617:RDR65618 RNN65617:RNN65618 RXJ65617:RXJ65618 SHF65617:SHF65618 SRB65617:SRB65618 TAX65617:TAX65618 TKT65617:TKT65618 TUP65617:TUP65618 UEL65617:UEL65618 UOH65617:UOH65618 UYD65617:UYD65618 VHZ65617:VHZ65618 VRV65617:VRV65618 WBR65617:WBR65618 WLN65617:WLN65618 WVJ65617:WVJ65618 B131153:B131154 IX131153:IX131154 ST131153:ST131154 ACP131153:ACP131154 AML131153:AML131154 AWH131153:AWH131154 BGD131153:BGD131154 BPZ131153:BPZ131154 BZV131153:BZV131154 CJR131153:CJR131154 CTN131153:CTN131154 DDJ131153:DDJ131154 DNF131153:DNF131154 DXB131153:DXB131154 EGX131153:EGX131154 EQT131153:EQT131154 FAP131153:FAP131154 FKL131153:FKL131154 FUH131153:FUH131154 GED131153:GED131154 GNZ131153:GNZ131154 GXV131153:GXV131154 HHR131153:HHR131154 HRN131153:HRN131154 IBJ131153:IBJ131154 ILF131153:ILF131154 IVB131153:IVB131154 JEX131153:JEX131154 JOT131153:JOT131154 JYP131153:JYP131154 KIL131153:KIL131154 KSH131153:KSH131154 LCD131153:LCD131154 LLZ131153:LLZ131154 LVV131153:LVV131154 MFR131153:MFR131154 MPN131153:MPN131154 MZJ131153:MZJ131154 NJF131153:NJF131154 NTB131153:NTB131154 OCX131153:OCX131154 OMT131153:OMT131154 OWP131153:OWP131154 PGL131153:PGL131154 PQH131153:PQH131154 QAD131153:QAD131154 QJZ131153:QJZ131154 QTV131153:QTV131154 RDR131153:RDR131154 RNN131153:RNN131154 RXJ131153:RXJ131154 SHF131153:SHF131154 SRB131153:SRB131154 TAX131153:TAX131154 TKT131153:TKT131154 TUP131153:TUP131154 UEL131153:UEL131154 UOH131153:UOH131154 UYD131153:UYD131154 VHZ131153:VHZ131154 VRV131153:VRV131154 WBR131153:WBR131154 WLN131153:WLN131154 WVJ131153:WVJ131154 B196689:B196690 IX196689:IX196690 ST196689:ST196690 ACP196689:ACP196690 AML196689:AML196690 AWH196689:AWH196690 BGD196689:BGD196690 BPZ196689:BPZ196690 BZV196689:BZV196690 CJR196689:CJR196690 CTN196689:CTN196690 DDJ196689:DDJ196690 DNF196689:DNF196690 DXB196689:DXB196690 EGX196689:EGX196690 EQT196689:EQT196690 FAP196689:FAP196690 FKL196689:FKL196690 FUH196689:FUH196690 GED196689:GED196690 GNZ196689:GNZ196690 GXV196689:GXV196690 HHR196689:HHR196690 HRN196689:HRN196690 IBJ196689:IBJ196690 ILF196689:ILF196690 IVB196689:IVB196690 JEX196689:JEX196690 JOT196689:JOT196690 JYP196689:JYP196690 KIL196689:KIL196690 KSH196689:KSH196690 LCD196689:LCD196690 LLZ196689:LLZ196690 LVV196689:LVV196690 MFR196689:MFR196690 MPN196689:MPN196690 MZJ196689:MZJ196690 NJF196689:NJF196690 NTB196689:NTB196690 OCX196689:OCX196690 OMT196689:OMT196690 OWP196689:OWP196690 PGL196689:PGL196690 PQH196689:PQH196690 QAD196689:QAD196690 QJZ196689:QJZ196690 QTV196689:QTV196690 RDR196689:RDR196690 RNN196689:RNN196690 RXJ196689:RXJ196690 SHF196689:SHF196690 SRB196689:SRB196690 TAX196689:TAX196690 TKT196689:TKT196690 TUP196689:TUP196690 UEL196689:UEL196690 UOH196689:UOH196690 UYD196689:UYD196690 VHZ196689:VHZ196690 VRV196689:VRV196690 WBR196689:WBR196690 WLN196689:WLN196690 WVJ196689:WVJ196690 B262225:B262226 IX262225:IX262226 ST262225:ST262226 ACP262225:ACP262226 AML262225:AML262226 AWH262225:AWH262226 BGD262225:BGD262226 BPZ262225:BPZ262226 BZV262225:BZV262226 CJR262225:CJR262226 CTN262225:CTN262226 DDJ262225:DDJ262226 DNF262225:DNF262226 DXB262225:DXB262226 EGX262225:EGX262226 EQT262225:EQT262226 FAP262225:FAP262226 FKL262225:FKL262226 FUH262225:FUH262226 GED262225:GED262226 GNZ262225:GNZ262226 GXV262225:GXV262226 HHR262225:HHR262226 HRN262225:HRN262226 IBJ262225:IBJ262226 ILF262225:ILF262226 IVB262225:IVB262226 JEX262225:JEX262226 JOT262225:JOT262226 JYP262225:JYP262226 KIL262225:KIL262226 KSH262225:KSH262226 LCD262225:LCD262226 LLZ262225:LLZ262226 LVV262225:LVV262226 MFR262225:MFR262226 MPN262225:MPN262226 MZJ262225:MZJ262226 NJF262225:NJF262226 NTB262225:NTB262226 OCX262225:OCX262226 OMT262225:OMT262226 OWP262225:OWP262226 PGL262225:PGL262226 PQH262225:PQH262226 QAD262225:QAD262226 QJZ262225:QJZ262226 QTV262225:QTV262226 RDR262225:RDR262226 RNN262225:RNN262226 RXJ262225:RXJ262226 SHF262225:SHF262226 SRB262225:SRB262226 TAX262225:TAX262226 TKT262225:TKT262226 TUP262225:TUP262226 UEL262225:UEL262226 UOH262225:UOH262226 UYD262225:UYD262226 VHZ262225:VHZ262226 VRV262225:VRV262226 WBR262225:WBR262226 WLN262225:WLN262226 WVJ262225:WVJ262226 B327761:B327762 IX327761:IX327762 ST327761:ST327762 ACP327761:ACP327762 AML327761:AML327762 AWH327761:AWH327762 BGD327761:BGD327762 BPZ327761:BPZ327762 BZV327761:BZV327762 CJR327761:CJR327762 CTN327761:CTN327762 DDJ327761:DDJ327762 DNF327761:DNF327762 DXB327761:DXB327762 EGX327761:EGX327762 EQT327761:EQT327762 FAP327761:FAP327762 FKL327761:FKL327762 FUH327761:FUH327762 GED327761:GED327762 GNZ327761:GNZ327762 GXV327761:GXV327762 HHR327761:HHR327762 HRN327761:HRN327762 IBJ327761:IBJ327762 ILF327761:ILF327762 IVB327761:IVB327762 JEX327761:JEX327762 JOT327761:JOT327762 JYP327761:JYP327762 KIL327761:KIL327762 KSH327761:KSH327762 LCD327761:LCD327762 LLZ327761:LLZ327762 LVV327761:LVV327762 MFR327761:MFR327762 MPN327761:MPN327762 MZJ327761:MZJ327762 NJF327761:NJF327762 NTB327761:NTB327762 OCX327761:OCX327762 OMT327761:OMT327762 OWP327761:OWP327762 PGL327761:PGL327762 PQH327761:PQH327762 QAD327761:QAD327762 QJZ327761:QJZ327762 QTV327761:QTV327762 RDR327761:RDR327762 RNN327761:RNN327762 RXJ327761:RXJ327762 SHF327761:SHF327762 SRB327761:SRB327762 TAX327761:TAX327762 TKT327761:TKT327762 TUP327761:TUP327762 UEL327761:UEL327762 UOH327761:UOH327762 UYD327761:UYD327762 VHZ327761:VHZ327762 VRV327761:VRV327762 WBR327761:WBR327762 WLN327761:WLN327762 WVJ327761:WVJ327762 B393297:B393298 IX393297:IX393298 ST393297:ST393298 ACP393297:ACP393298 AML393297:AML393298 AWH393297:AWH393298 BGD393297:BGD393298 BPZ393297:BPZ393298 BZV393297:BZV393298 CJR393297:CJR393298 CTN393297:CTN393298 DDJ393297:DDJ393298 DNF393297:DNF393298 DXB393297:DXB393298 EGX393297:EGX393298 EQT393297:EQT393298 FAP393297:FAP393298 FKL393297:FKL393298 FUH393297:FUH393298 GED393297:GED393298 GNZ393297:GNZ393298 GXV393297:GXV393298 HHR393297:HHR393298 HRN393297:HRN393298 IBJ393297:IBJ393298 ILF393297:ILF393298 IVB393297:IVB393298 JEX393297:JEX393298 JOT393297:JOT393298 JYP393297:JYP393298 KIL393297:KIL393298 KSH393297:KSH393298 LCD393297:LCD393298 LLZ393297:LLZ393298 LVV393297:LVV393298 MFR393297:MFR393298 MPN393297:MPN393298 MZJ393297:MZJ393298 NJF393297:NJF393298 NTB393297:NTB393298 OCX393297:OCX393298 OMT393297:OMT393298 OWP393297:OWP393298 PGL393297:PGL393298 PQH393297:PQH393298 QAD393297:QAD393298 QJZ393297:QJZ393298 QTV393297:QTV393298 RDR393297:RDR393298 RNN393297:RNN393298 RXJ393297:RXJ393298 SHF393297:SHF393298 SRB393297:SRB393298 TAX393297:TAX393298 TKT393297:TKT393298 TUP393297:TUP393298 UEL393297:UEL393298 UOH393297:UOH393298 UYD393297:UYD393298 VHZ393297:VHZ393298 VRV393297:VRV393298 WBR393297:WBR393298 WLN393297:WLN393298 WVJ393297:WVJ393298 B458833:B458834 IX458833:IX458834 ST458833:ST458834 ACP458833:ACP458834 AML458833:AML458834 AWH458833:AWH458834 BGD458833:BGD458834 BPZ458833:BPZ458834 BZV458833:BZV458834 CJR458833:CJR458834 CTN458833:CTN458834 DDJ458833:DDJ458834 DNF458833:DNF458834 DXB458833:DXB458834 EGX458833:EGX458834 EQT458833:EQT458834 FAP458833:FAP458834 FKL458833:FKL458834 FUH458833:FUH458834 GED458833:GED458834 GNZ458833:GNZ458834 GXV458833:GXV458834 HHR458833:HHR458834 HRN458833:HRN458834 IBJ458833:IBJ458834 ILF458833:ILF458834 IVB458833:IVB458834 JEX458833:JEX458834 JOT458833:JOT458834 JYP458833:JYP458834 KIL458833:KIL458834 KSH458833:KSH458834 LCD458833:LCD458834 LLZ458833:LLZ458834 LVV458833:LVV458834 MFR458833:MFR458834 MPN458833:MPN458834 MZJ458833:MZJ458834 NJF458833:NJF458834 NTB458833:NTB458834 OCX458833:OCX458834 OMT458833:OMT458834 OWP458833:OWP458834 PGL458833:PGL458834 PQH458833:PQH458834 QAD458833:QAD458834 QJZ458833:QJZ458834 QTV458833:QTV458834 RDR458833:RDR458834 RNN458833:RNN458834 RXJ458833:RXJ458834 SHF458833:SHF458834 SRB458833:SRB458834 TAX458833:TAX458834 TKT458833:TKT458834 TUP458833:TUP458834 UEL458833:UEL458834 UOH458833:UOH458834 UYD458833:UYD458834 VHZ458833:VHZ458834 VRV458833:VRV458834 WBR458833:WBR458834 WLN458833:WLN458834 WVJ458833:WVJ458834 B524369:B524370 IX524369:IX524370 ST524369:ST524370 ACP524369:ACP524370 AML524369:AML524370 AWH524369:AWH524370 BGD524369:BGD524370 BPZ524369:BPZ524370 BZV524369:BZV524370 CJR524369:CJR524370 CTN524369:CTN524370 DDJ524369:DDJ524370 DNF524369:DNF524370 DXB524369:DXB524370 EGX524369:EGX524370 EQT524369:EQT524370 FAP524369:FAP524370 FKL524369:FKL524370 FUH524369:FUH524370 GED524369:GED524370 GNZ524369:GNZ524370 GXV524369:GXV524370 HHR524369:HHR524370 HRN524369:HRN524370 IBJ524369:IBJ524370 ILF524369:ILF524370 IVB524369:IVB524370 JEX524369:JEX524370 JOT524369:JOT524370 JYP524369:JYP524370 KIL524369:KIL524370 KSH524369:KSH524370 LCD524369:LCD524370 LLZ524369:LLZ524370 LVV524369:LVV524370 MFR524369:MFR524370 MPN524369:MPN524370 MZJ524369:MZJ524370 NJF524369:NJF524370 NTB524369:NTB524370 OCX524369:OCX524370 OMT524369:OMT524370 OWP524369:OWP524370 PGL524369:PGL524370 PQH524369:PQH524370 QAD524369:QAD524370 QJZ524369:QJZ524370 QTV524369:QTV524370 RDR524369:RDR524370 RNN524369:RNN524370 RXJ524369:RXJ524370 SHF524369:SHF524370 SRB524369:SRB524370 TAX524369:TAX524370 TKT524369:TKT524370 TUP524369:TUP524370 UEL524369:UEL524370 UOH524369:UOH524370 UYD524369:UYD524370 VHZ524369:VHZ524370 VRV524369:VRV524370 WBR524369:WBR524370 WLN524369:WLN524370 WVJ524369:WVJ524370 B589905:B589906 IX589905:IX589906 ST589905:ST589906 ACP589905:ACP589906 AML589905:AML589906 AWH589905:AWH589906 BGD589905:BGD589906 BPZ589905:BPZ589906 BZV589905:BZV589906 CJR589905:CJR589906 CTN589905:CTN589906 DDJ589905:DDJ589906 DNF589905:DNF589906 DXB589905:DXB589906 EGX589905:EGX589906 EQT589905:EQT589906 FAP589905:FAP589906 FKL589905:FKL589906 FUH589905:FUH589906 GED589905:GED589906 GNZ589905:GNZ589906 GXV589905:GXV589906 HHR589905:HHR589906 HRN589905:HRN589906 IBJ589905:IBJ589906 ILF589905:ILF589906 IVB589905:IVB589906 JEX589905:JEX589906 JOT589905:JOT589906 JYP589905:JYP589906 KIL589905:KIL589906 KSH589905:KSH589906 LCD589905:LCD589906 LLZ589905:LLZ589906 LVV589905:LVV589906 MFR589905:MFR589906 MPN589905:MPN589906 MZJ589905:MZJ589906 NJF589905:NJF589906 NTB589905:NTB589906 OCX589905:OCX589906 OMT589905:OMT589906 OWP589905:OWP589906 PGL589905:PGL589906 PQH589905:PQH589906 QAD589905:QAD589906 QJZ589905:QJZ589906 QTV589905:QTV589906 RDR589905:RDR589906 RNN589905:RNN589906 RXJ589905:RXJ589906 SHF589905:SHF589906 SRB589905:SRB589906 TAX589905:TAX589906 TKT589905:TKT589906 TUP589905:TUP589906 UEL589905:UEL589906 UOH589905:UOH589906 UYD589905:UYD589906 VHZ589905:VHZ589906 VRV589905:VRV589906 WBR589905:WBR589906 WLN589905:WLN589906 WVJ589905:WVJ589906 B655441:B655442 IX655441:IX655442 ST655441:ST655442 ACP655441:ACP655442 AML655441:AML655442 AWH655441:AWH655442 BGD655441:BGD655442 BPZ655441:BPZ655442 BZV655441:BZV655442 CJR655441:CJR655442 CTN655441:CTN655442 DDJ655441:DDJ655442 DNF655441:DNF655442 DXB655441:DXB655442 EGX655441:EGX655442 EQT655441:EQT655442 FAP655441:FAP655442 FKL655441:FKL655442 FUH655441:FUH655442 GED655441:GED655442 GNZ655441:GNZ655442 GXV655441:GXV655442 HHR655441:HHR655442 HRN655441:HRN655442 IBJ655441:IBJ655442 ILF655441:ILF655442 IVB655441:IVB655442 JEX655441:JEX655442 JOT655441:JOT655442 JYP655441:JYP655442 KIL655441:KIL655442 KSH655441:KSH655442 LCD655441:LCD655442 LLZ655441:LLZ655442 LVV655441:LVV655442 MFR655441:MFR655442 MPN655441:MPN655442 MZJ655441:MZJ655442 NJF655441:NJF655442 NTB655441:NTB655442 OCX655441:OCX655442 OMT655441:OMT655442 OWP655441:OWP655442 PGL655441:PGL655442 PQH655441:PQH655442 QAD655441:QAD655442 QJZ655441:QJZ655442 QTV655441:QTV655442 RDR655441:RDR655442 RNN655441:RNN655442 RXJ655441:RXJ655442 SHF655441:SHF655442 SRB655441:SRB655442 TAX655441:TAX655442 TKT655441:TKT655442 TUP655441:TUP655442 UEL655441:UEL655442 UOH655441:UOH655442 UYD655441:UYD655442 VHZ655441:VHZ655442 VRV655441:VRV655442 WBR655441:WBR655442 WLN655441:WLN655442 WVJ655441:WVJ655442 B720977:B720978 IX720977:IX720978 ST720977:ST720978 ACP720977:ACP720978 AML720977:AML720978 AWH720977:AWH720978 BGD720977:BGD720978 BPZ720977:BPZ720978 BZV720977:BZV720978 CJR720977:CJR720978 CTN720977:CTN720978 DDJ720977:DDJ720978 DNF720977:DNF720978 DXB720977:DXB720978 EGX720977:EGX720978 EQT720977:EQT720978 FAP720977:FAP720978 FKL720977:FKL720978 FUH720977:FUH720978 GED720977:GED720978 GNZ720977:GNZ720978 GXV720977:GXV720978 HHR720977:HHR720978 HRN720977:HRN720978 IBJ720977:IBJ720978 ILF720977:ILF720978 IVB720977:IVB720978 JEX720977:JEX720978 JOT720977:JOT720978 JYP720977:JYP720978 KIL720977:KIL720978 KSH720977:KSH720978 LCD720977:LCD720978 LLZ720977:LLZ720978 LVV720977:LVV720978 MFR720977:MFR720978 MPN720977:MPN720978 MZJ720977:MZJ720978 NJF720977:NJF720978 NTB720977:NTB720978 OCX720977:OCX720978 OMT720977:OMT720978 OWP720977:OWP720978 PGL720977:PGL720978 PQH720977:PQH720978 QAD720977:QAD720978 QJZ720977:QJZ720978 QTV720977:QTV720978 RDR720977:RDR720978 RNN720977:RNN720978 RXJ720977:RXJ720978 SHF720977:SHF720978 SRB720977:SRB720978 TAX720977:TAX720978 TKT720977:TKT720978 TUP720977:TUP720978 UEL720977:UEL720978 UOH720977:UOH720978 UYD720977:UYD720978 VHZ720977:VHZ720978 VRV720977:VRV720978 WBR720977:WBR720978 WLN720977:WLN720978 WVJ720977:WVJ720978 B786513:B786514 IX786513:IX786514 ST786513:ST786514 ACP786513:ACP786514 AML786513:AML786514 AWH786513:AWH786514 BGD786513:BGD786514 BPZ786513:BPZ786514 BZV786513:BZV786514 CJR786513:CJR786514 CTN786513:CTN786514 DDJ786513:DDJ786514 DNF786513:DNF786514 DXB786513:DXB786514 EGX786513:EGX786514 EQT786513:EQT786514 FAP786513:FAP786514 FKL786513:FKL786514 FUH786513:FUH786514 GED786513:GED786514 GNZ786513:GNZ786514 GXV786513:GXV786514 HHR786513:HHR786514 HRN786513:HRN786514 IBJ786513:IBJ786514 ILF786513:ILF786514 IVB786513:IVB786514 JEX786513:JEX786514 JOT786513:JOT786514 JYP786513:JYP786514 KIL786513:KIL786514 KSH786513:KSH786514 LCD786513:LCD786514 LLZ786513:LLZ786514 LVV786513:LVV786514 MFR786513:MFR786514 MPN786513:MPN786514 MZJ786513:MZJ786514 NJF786513:NJF786514 NTB786513:NTB786514 OCX786513:OCX786514 OMT786513:OMT786514 OWP786513:OWP786514 PGL786513:PGL786514 PQH786513:PQH786514 QAD786513:QAD786514 QJZ786513:QJZ786514 QTV786513:QTV786514 RDR786513:RDR786514 RNN786513:RNN786514 RXJ786513:RXJ786514 SHF786513:SHF786514 SRB786513:SRB786514 TAX786513:TAX786514 TKT786513:TKT786514 TUP786513:TUP786514 UEL786513:UEL786514 UOH786513:UOH786514 UYD786513:UYD786514 VHZ786513:VHZ786514 VRV786513:VRV786514 WBR786513:WBR786514 WLN786513:WLN786514 WVJ786513:WVJ786514 B852049:B852050 IX852049:IX852050 ST852049:ST852050 ACP852049:ACP852050 AML852049:AML852050 AWH852049:AWH852050 BGD852049:BGD852050 BPZ852049:BPZ852050 BZV852049:BZV852050 CJR852049:CJR852050 CTN852049:CTN852050 DDJ852049:DDJ852050 DNF852049:DNF852050 DXB852049:DXB852050 EGX852049:EGX852050 EQT852049:EQT852050 FAP852049:FAP852050 FKL852049:FKL852050 FUH852049:FUH852050 GED852049:GED852050 GNZ852049:GNZ852050 GXV852049:GXV852050 HHR852049:HHR852050 HRN852049:HRN852050 IBJ852049:IBJ852050 ILF852049:ILF852050 IVB852049:IVB852050 JEX852049:JEX852050 JOT852049:JOT852050 JYP852049:JYP852050 KIL852049:KIL852050 KSH852049:KSH852050 LCD852049:LCD852050 LLZ852049:LLZ852050 LVV852049:LVV852050 MFR852049:MFR852050 MPN852049:MPN852050 MZJ852049:MZJ852050 NJF852049:NJF852050 NTB852049:NTB852050 OCX852049:OCX852050 OMT852049:OMT852050 OWP852049:OWP852050 PGL852049:PGL852050 PQH852049:PQH852050 QAD852049:QAD852050 QJZ852049:QJZ852050 QTV852049:QTV852050 RDR852049:RDR852050 RNN852049:RNN852050 RXJ852049:RXJ852050 SHF852049:SHF852050 SRB852049:SRB852050 TAX852049:TAX852050 TKT852049:TKT852050 TUP852049:TUP852050 UEL852049:UEL852050 UOH852049:UOH852050 UYD852049:UYD852050 VHZ852049:VHZ852050 VRV852049:VRV852050 WBR852049:WBR852050 WLN852049:WLN852050 WVJ852049:WVJ852050 B917585:B917586 IX917585:IX917586 ST917585:ST917586 ACP917585:ACP917586 AML917585:AML917586 AWH917585:AWH917586 BGD917585:BGD917586 BPZ917585:BPZ917586 BZV917585:BZV917586 CJR917585:CJR917586 CTN917585:CTN917586 DDJ917585:DDJ917586 DNF917585:DNF917586 DXB917585:DXB917586 EGX917585:EGX917586 EQT917585:EQT917586 FAP917585:FAP917586 FKL917585:FKL917586 FUH917585:FUH917586 GED917585:GED917586 GNZ917585:GNZ917586 GXV917585:GXV917586 HHR917585:HHR917586 HRN917585:HRN917586 IBJ917585:IBJ917586 ILF917585:ILF917586 IVB917585:IVB917586 JEX917585:JEX917586 JOT917585:JOT917586 JYP917585:JYP917586 KIL917585:KIL917586 KSH917585:KSH917586 LCD917585:LCD917586 LLZ917585:LLZ917586 LVV917585:LVV917586 MFR917585:MFR917586 MPN917585:MPN917586 MZJ917585:MZJ917586 NJF917585:NJF917586 NTB917585:NTB917586 OCX917585:OCX917586 OMT917585:OMT917586 OWP917585:OWP917586 PGL917585:PGL917586 PQH917585:PQH917586 QAD917585:QAD917586 QJZ917585:QJZ917586 QTV917585:QTV917586 RDR917585:RDR917586 RNN917585:RNN917586 RXJ917585:RXJ917586 SHF917585:SHF917586 SRB917585:SRB917586 TAX917585:TAX917586 TKT917585:TKT917586 TUP917585:TUP917586 UEL917585:UEL917586 UOH917585:UOH917586 UYD917585:UYD917586 VHZ917585:VHZ917586 VRV917585:VRV917586 WBR917585:WBR917586 WLN917585:WLN917586 WVJ917585:WVJ917586 B983121:B983122 IX983121:IX983122 ST983121:ST983122 ACP983121:ACP983122 AML983121:AML983122 AWH983121:AWH983122 BGD983121:BGD983122 BPZ983121:BPZ983122 BZV983121:BZV983122 CJR983121:CJR983122 CTN983121:CTN983122 DDJ983121:DDJ983122 DNF983121:DNF983122 DXB983121:DXB983122 EGX983121:EGX983122 EQT983121:EQT983122 FAP983121:FAP983122 FKL983121:FKL983122 FUH983121:FUH983122 GED983121:GED983122 GNZ983121:GNZ983122 GXV983121:GXV983122 HHR983121:HHR983122 HRN983121:HRN983122 IBJ983121:IBJ983122 ILF983121:ILF983122 IVB983121:IVB983122 JEX983121:JEX983122 JOT983121:JOT983122 JYP983121:JYP983122 KIL983121:KIL983122 KSH983121:KSH983122 LCD983121:LCD983122 LLZ983121:LLZ983122 LVV983121:LVV983122 MFR983121:MFR983122 MPN983121:MPN983122 MZJ983121:MZJ983122 NJF983121:NJF983122 NTB983121:NTB983122 OCX983121:OCX983122 OMT983121:OMT983122 OWP983121:OWP983122 PGL983121:PGL983122 PQH983121:PQH983122 QAD983121:QAD983122 QJZ983121:QJZ983122 QTV983121:QTV983122 RDR983121:RDR983122 RNN983121:RNN983122 RXJ983121:RXJ983122 SHF983121:SHF983122 SRB983121:SRB983122 TAX983121:TAX983122 TKT983121:TKT983122 TUP983121:TUP983122 UEL983121:UEL983122 UOH983121:UOH983122 UYD983121:UYD983122 VHZ983121:VHZ983122 VRV983121:VRV983122 WBR983121:WBR983122 WLN983121:WLN983122 WVJ983121:WVJ983122 B65622:B65626 IX65622:IX65626 ST65622:ST65626 ACP65622:ACP65626 AML65622:AML65626 AWH65622:AWH65626 BGD65622:BGD65626 BPZ65622:BPZ65626 BZV65622:BZV65626 CJR65622:CJR65626 CTN65622:CTN65626 DDJ65622:DDJ65626 DNF65622:DNF65626 DXB65622:DXB65626 EGX65622:EGX65626 EQT65622:EQT65626 FAP65622:FAP65626 FKL65622:FKL65626 FUH65622:FUH65626 GED65622:GED65626 GNZ65622:GNZ65626 GXV65622:GXV65626 HHR65622:HHR65626 HRN65622:HRN65626 IBJ65622:IBJ65626 ILF65622:ILF65626 IVB65622:IVB65626 JEX65622:JEX65626 JOT65622:JOT65626 JYP65622:JYP65626 KIL65622:KIL65626 KSH65622:KSH65626 LCD65622:LCD65626 LLZ65622:LLZ65626 LVV65622:LVV65626 MFR65622:MFR65626 MPN65622:MPN65626 MZJ65622:MZJ65626 NJF65622:NJF65626 NTB65622:NTB65626 OCX65622:OCX65626 OMT65622:OMT65626 OWP65622:OWP65626 PGL65622:PGL65626 PQH65622:PQH65626 QAD65622:QAD65626 QJZ65622:QJZ65626 QTV65622:QTV65626 RDR65622:RDR65626 RNN65622:RNN65626 RXJ65622:RXJ65626 SHF65622:SHF65626 SRB65622:SRB65626 TAX65622:TAX65626 TKT65622:TKT65626 TUP65622:TUP65626 UEL65622:UEL65626 UOH65622:UOH65626 UYD65622:UYD65626 VHZ65622:VHZ65626 VRV65622:VRV65626 WBR65622:WBR65626 WLN65622:WLN65626 WVJ65622:WVJ65626 B131158:B131162 IX131158:IX131162 ST131158:ST131162 ACP131158:ACP131162 AML131158:AML131162 AWH131158:AWH131162 BGD131158:BGD131162 BPZ131158:BPZ131162 BZV131158:BZV131162 CJR131158:CJR131162 CTN131158:CTN131162 DDJ131158:DDJ131162 DNF131158:DNF131162 DXB131158:DXB131162 EGX131158:EGX131162 EQT131158:EQT131162 FAP131158:FAP131162 FKL131158:FKL131162 FUH131158:FUH131162 GED131158:GED131162 GNZ131158:GNZ131162 GXV131158:GXV131162 HHR131158:HHR131162 HRN131158:HRN131162 IBJ131158:IBJ131162 ILF131158:ILF131162 IVB131158:IVB131162 JEX131158:JEX131162 JOT131158:JOT131162 JYP131158:JYP131162 KIL131158:KIL131162 KSH131158:KSH131162 LCD131158:LCD131162 LLZ131158:LLZ131162 LVV131158:LVV131162 MFR131158:MFR131162 MPN131158:MPN131162 MZJ131158:MZJ131162 NJF131158:NJF131162 NTB131158:NTB131162 OCX131158:OCX131162 OMT131158:OMT131162 OWP131158:OWP131162 PGL131158:PGL131162 PQH131158:PQH131162 QAD131158:QAD131162 QJZ131158:QJZ131162 QTV131158:QTV131162 RDR131158:RDR131162 RNN131158:RNN131162 RXJ131158:RXJ131162 SHF131158:SHF131162 SRB131158:SRB131162 TAX131158:TAX131162 TKT131158:TKT131162 TUP131158:TUP131162 UEL131158:UEL131162 UOH131158:UOH131162 UYD131158:UYD131162 VHZ131158:VHZ131162 VRV131158:VRV131162 WBR131158:WBR131162 WLN131158:WLN131162 WVJ131158:WVJ131162 B196694:B196698 IX196694:IX196698 ST196694:ST196698 ACP196694:ACP196698 AML196694:AML196698 AWH196694:AWH196698 BGD196694:BGD196698 BPZ196694:BPZ196698 BZV196694:BZV196698 CJR196694:CJR196698 CTN196694:CTN196698 DDJ196694:DDJ196698 DNF196694:DNF196698 DXB196694:DXB196698 EGX196694:EGX196698 EQT196694:EQT196698 FAP196694:FAP196698 FKL196694:FKL196698 FUH196694:FUH196698 GED196694:GED196698 GNZ196694:GNZ196698 GXV196694:GXV196698 HHR196694:HHR196698 HRN196694:HRN196698 IBJ196694:IBJ196698 ILF196694:ILF196698 IVB196694:IVB196698 JEX196694:JEX196698 JOT196694:JOT196698 JYP196694:JYP196698 KIL196694:KIL196698 KSH196694:KSH196698 LCD196694:LCD196698 LLZ196694:LLZ196698 LVV196694:LVV196698 MFR196694:MFR196698 MPN196694:MPN196698 MZJ196694:MZJ196698 NJF196694:NJF196698 NTB196694:NTB196698 OCX196694:OCX196698 OMT196694:OMT196698 OWP196694:OWP196698 PGL196694:PGL196698 PQH196694:PQH196698 QAD196694:QAD196698 QJZ196694:QJZ196698 QTV196694:QTV196698 RDR196694:RDR196698 RNN196694:RNN196698 RXJ196694:RXJ196698 SHF196694:SHF196698 SRB196694:SRB196698 TAX196694:TAX196698 TKT196694:TKT196698 TUP196694:TUP196698 UEL196694:UEL196698 UOH196694:UOH196698 UYD196694:UYD196698 VHZ196694:VHZ196698 VRV196694:VRV196698 WBR196694:WBR196698 WLN196694:WLN196698 WVJ196694:WVJ196698 B262230:B262234 IX262230:IX262234 ST262230:ST262234 ACP262230:ACP262234 AML262230:AML262234 AWH262230:AWH262234 BGD262230:BGD262234 BPZ262230:BPZ262234 BZV262230:BZV262234 CJR262230:CJR262234 CTN262230:CTN262234 DDJ262230:DDJ262234 DNF262230:DNF262234 DXB262230:DXB262234 EGX262230:EGX262234 EQT262230:EQT262234 FAP262230:FAP262234 FKL262230:FKL262234 FUH262230:FUH262234 GED262230:GED262234 GNZ262230:GNZ262234 GXV262230:GXV262234 HHR262230:HHR262234 HRN262230:HRN262234 IBJ262230:IBJ262234 ILF262230:ILF262234 IVB262230:IVB262234 JEX262230:JEX262234 JOT262230:JOT262234 JYP262230:JYP262234 KIL262230:KIL262234 KSH262230:KSH262234 LCD262230:LCD262234 LLZ262230:LLZ262234 LVV262230:LVV262234 MFR262230:MFR262234 MPN262230:MPN262234 MZJ262230:MZJ262234 NJF262230:NJF262234 NTB262230:NTB262234 OCX262230:OCX262234 OMT262230:OMT262234 OWP262230:OWP262234 PGL262230:PGL262234 PQH262230:PQH262234 QAD262230:QAD262234 QJZ262230:QJZ262234 QTV262230:QTV262234 RDR262230:RDR262234 RNN262230:RNN262234 RXJ262230:RXJ262234 SHF262230:SHF262234 SRB262230:SRB262234 TAX262230:TAX262234 TKT262230:TKT262234 TUP262230:TUP262234 UEL262230:UEL262234 UOH262230:UOH262234 UYD262230:UYD262234 VHZ262230:VHZ262234 VRV262230:VRV262234 WBR262230:WBR262234 WLN262230:WLN262234 WVJ262230:WVJ262234 B327766:B327770 IX327766:IX327770 ST327766:ST327770 ACP327766:ACP327770 AML327766:AML327770 AWH327766:AWH327770 BGD327766:BGD327770 BPZ327766:BPZ327770 BZV327766:BZV327770 CJR327766:CJR327770 CTN327766:CTN327770 DDJ327766:DDJ327770 DNF327766:DNF327770 DXB327766:DXB327770 EGX327766:EGX327770 EQT327766:EQT327770 FAP327766:FAP327770 FKL327766:FKL327770 FUH327766:FUH327770 GED327766:GED327770 GNZ327766:GNZ327770 GXV327766:GXV327770 HHR327766:HHR327770 HRN327766:HRN327770 IBJ327766:IBJ327770 ILF327766:ILF327770 IVB327766:IVB327770 JEX327766:JEX327770 JOT327766:JOT327770 JYP327766:JYP327770 KIL327766:KIL327770 KSH327766:KSH327770 LCD327766:LCD327770 LLZ327766:LLZ327770 LVV327766:LVV327770 MFR327766:MFR327770 MPN327766:MPN327770 MZJ327766:MZJ327770 NJF327766:NJF327770 NTB327766:NTB327770 OCX327766:OCX327770 OMT327766:OMT327770 OWP327766:OWP327770 PGL327766:PGL327770 PQH327766:PQH327770 QAD327766:QAD327770 QJZ327766:QJZ327770 QTV327766:QTV327770 RDR327766:RDR327770 RNN327766:RNN327770 RXJ327766:RXJ327770 SHF327766:SHF327770 SRB327766:SRB327770 TAX327766:TAX327770 TKT327766:TKT327770 TUP327766:TUP327770 UEL327766:UEL327770 UOH327766:UOH327770 UYD327766:UYD327770 VHZ327766:VHZ327770 VRV327766:VRV327770 WBR327766:WBR327770 WLN327766:WLN327770 WVJ327766:WVJ327770 B393302:B393306 IX393302:IX393306 ST393302:ST393306 ACP393302:ACP393306 AML393302:AML393306 AWH393302:AWH393306 BGD393302:BGD393306 BPZ393302:BPZ393306 BZV393302:BZV393306 CJR393302:CJR393306 CTN393302:CTN393306 DDJ393302:DDJ393306 DNF393302:DNF393306 DXB393302:DXB393306 EGX393302:EGX393306 EQT393302:EQT393306 FAP393302:FAP393306 FKL393302:FKL393306 FUH393302:FUH393306 GED393302:GED393306 GNZ393302:GNZ393306 GXV393302:GXV393306 HHR393302:HHR393306 HRN393302:HRN393306 IBJ393302:IBJ393306 ILF393302:ILF393306 IVB393302:IVB393306 JEX393302:JEX393306 JOT393302:JOT393306 JYP393302:JYP393306 KIL393302:KIL393306 KSH393302:KSH393306 LCD393302:LCD393306 LLZ393302:LLZ393306 LVV393302:LVV393306 MFR393302:MFR393306 MPN393302:MPN393306 MZJ393302:MZJ393306 NJF393302:NJF393306 NTB393302:NTB393306 OCX393302:OCX393306 OMT393302:OMT393306 OWP393302:OWP393306 PGL393302:PGL393306 PQH393302:PQH393306 QAD393302:QAD393306 QJZ393302:QJZ393306 QTV393302:QTV393306 RDR393302:RDR393306 RNN393302:RNN393306 RXJ393302:RXJ393306 SHF393302:SHF393306 SRB393302:SRB393306 TAX393302:TAX393306 TKT393302:TKT393306 TUP393302:TUP393306 UEL393302:UEL393306 UOH393302:UOH393306 UYD393302:UYD393306 VHZ393302:VHZ393306 VRV393302:VRV393306 WBR393302:WBR393306 WLN393302:WLN393306 WVJ393302:WVJ393306 B458838:B458842 IX458838:IX458842 ST458838:ST458842 ACP458838:ACP458842 AML458838:AML458842 AWH458838:AWH458842 BGD458838:BGD458842 BPZ458838:BPZ458842 BZV458838:BZV458842 CJR458838:CJR458842 CTN458838:CTN458842 DDJ458838:DDJ458842 DNF458838:DNF458842 DXB458838:DXB458842 EGX458838:EGX458842 EQT458838:EQT458842 FAP458838:FAP458842 FKL458838:FKL458842 FUH458838:FUH458842 GED458838:GED458842 GNZ458838:GNZ458842 GXV458838:GXV458842 HHR458838:HHR458842 HRN458838:HRN458842 IBJ458838:IBJ458842 ILF458838:ILF458842 IVB458838:IVB458842 JEX458838:JEX458842 JOT458838:JOT458842 JYP458838:JYP458842 KIL458838:KIL458842 KSH458838:KSH458842 LCD458838:LCD458842 LLZ458838:LLZ458842 LVV458838:LVV458842 MFR458838:MFR458842 MPN458838:MPN458842 MZJ458838:MZJ458842 NJF458838:NJF458842 NTB458838:NTB458842 OCX458838:OCX458842 OMT458838:OMT458842 OWP458838:OWP458842 PGL458838:PGL458842 PQH458838:PQH458842 QAD458838:QAD458842 QJZ458838:QJZ458842 QTV458838:QTV458842 RDR458838:RDR458842 RNN458838:RNN458842 RXJ458838:RXJ458842 SHF458838:SHF458842 SRB458838:SRB458842 TAX458838:TAX458842 TKT458838:TKT458842 TUP458838:TUP458842 UEL458838:UEL458842 UOH458838:UOH458842 UYD458838:UYD458842 VHZ458838:VHZ458842 VRV458838:VRV458842 WBR458838:WBR458842 WLN458838:WLN458842 WVJ458838:WVJ458842 B524374:B524378 IX524374:IX524378 ST524374:ST524378 ACP524374:ACP524378 AML524374:AML524378 AWH524374:AWH524378 BGD524374:BGD524378 BPZ524374:BPZ524378 BZV524374:BZV524378 CJR524374:CJR524378 CTN524374:CTN524378 DDJ524374:DDJ524378 DNF524374:DNF524378 DXB524374:DXB524378 EGX524374:EGX524378 EQT524374:EQT524378 FAP524374:FAP524378 FKL524374:FKL524378 FUH524374:FUH524378 GED524374:GED524378 GNZ524374:GNZ524378 GXV524374:GXV524378 HHR524374:HHR524378 HRN524374:HRN524378 IBJ524374:IBJ524378 ILF524374:ILF524378 IVB524374:IVB524378 JEX524374:JEX524378 JOT524374:JOT524378 JYP524374:JYP524378 KIL524374:KIL524378 KSH524374:KSH524378 LCD524374:LCD524378 LLZ524374:LLZ524378 LVV524374:LVV524378 MFR524374:MFR524378 MPN524374:MPN524378 MZJ524374:MZJ524378 NJF524374:NJF524378 NTB524374:NTB524378 OCX524374:OCX524378 OMT524374:OMT524378 OWP524374:OWP524378 PGL524374:PGL524378 PQH524374:PQH524378 QAD524374:QAD524378 QJZ524374:QJZ524378 QTV524374:QTV524378 RDR524374:RDR524378 RNN524374:RNN524378 RXJ524374:RXJ524378 SHF524374:SHF524378 SRB524374:SRB524378 TAX524374:TAX524378 TKT524374:TKT524378 TUP524374:TUP524378 UEL524374:UEL524378 UOH524374:UOH524378 UYD524374:UYD524378 VHZ524374:VHZ524378 VRV524374:VRV524378 WBR524374:WBR524378 WLN524374:WLN524378 WVJ524374:WVJ524378 B589910:B589914 IX589910:IX589914 ST589910:ST589914 ACP589910:ACP589914 AML589910:AML589914 AWH589910:AWH589914 BGD589910:BGD589914 BPZ589910:BPZ589914 BZV589910:BZV589914 CJR589910:CJR589914 CTN589910:CTN589914 DDJ589910:DDJ589914 DNF589910:DNF589914 DXB589910:DXB589914 EGX589910:EGX589914 EQT589910:EQT589914 FAP589910:FAP589914 FKL589910:FKL589914 FUH589910:FUH589914 GED589910:GED589914 GNZ589910:GNZ589914 GXV589910:GXV589914 HHR589910:HHR589914 HRN589910:HRN589914 IBJ589910:IBJ589914 ILF589910:ILF589914 IVB589910:IVB589914 JEX589910:JEX589914 JOT589910:JOT589914 JYP589910:JYP589914 KIL589910:KIL589914 KSH589910:KSH589914 LCD589910:LCD589914 LLZ589910:LLZ589914 LVV589910:LVV589914 MFR589910:MFR589914 MPN589910:MPN589914 MZJ589910:MZJ589914 NJF589910:NJF589914 NTB589910:NTB589914 OCX589910:OCX589914 OMT589910:OMT589914 OWP589910:OWP589914 PGL589910:PGL589914 PQH589910:PQH589914 QAD589910:QAD589914 QJZ589910:QJZ589914 QTV589910:QTV589914 RDR589910:RDR589914 RNN589910:RNN589914 RXJ589910:RXJ589914 SHF589910:SHF589914 SRB589910:SRB589914 TAX589910:TAX589914 TKT589910:TKT589914 TUP589910:TUP589914 UEL589910:UEL589914 UOH589910:UOH589914 UYD589910:UYD589914 VHZ589910:VHZ589914 VRV589910:VRV589914 WBR589910:WBR589914 WLN589910:WLN589914 WVJ589910:WVJ589914 B655446:B655450 IX655446:IX655450 ST655446:ST655450 ACP655446:ACP655450 AML655446:AML655450 AWH655446:AWH655450 BGD655446:BGD655450 BPZ655446:BPZ655450 BZV655446:BZV655450 CJR655446:CJR655450 CTN655446:CTN655450 DDJ655446:DDJ655450 DNF655446:DNF655450 DXB655446:DXB655450 EGX655446:EGX655450 EQT655446:EQT655450 FAP655446:FAP655450 FKL655446:FKL655450 FUH655446:FUH655450 GED655446:GED655450 GNZ655446:GNZ655450 GXV655446:GXV655450 HHR655446:HHR655450 HRN655446:HRN655450 IBJ655446:IBJ655450 ILF655446:ILF655450 IVB655446:IVB655450 JEX655446:JEX655450 JOT655446:JOT655450 JYP655446:JYP655450 KIL655446:KIL655450 KSH655446:KSH655450 LCD655446:LCD655450 LLZ655446:LLZ655450 LVV655446:LVV655450 MFR655446:MFR655450 MPN655446:MPN655450 MZJ655446:MZJ655450 NJF655446:NJF655450 NTB655446:NTB655450 OCX655446:OCX655450 OMT655446:OMT655450 OWP655446:OWP655450 PGL655446:PGL655450 PQH655446:PQH655450 QAD655446:QAD655450 QJZ655446:QJZ655450 QTV655446:QTV655450 RDR655446:RDR655450 RNN655446:RNN655450 RXJ655446:RXJ655450 SHF655446:SHF655450 SRB655446:SRB655450 TAX655446:TAX655450 TKT655446:TKT655450 TUP655446:TUP655450 UEL655446:UEL655450 UOH655446:UOH655450 UYD655446:UYD655450 VHZ655446:VHZ655450 VRV655446:VRV655450 WBR655446:WBR655450 WLN655446:WLN655450 WVJ655446:WVJ655450 B720982:B720986 IX720982:IX720986 ST720982:ST720986 ACP720982:ACP720986 AML720982:AML720986 AWH720982:AWH720986 BGD720982:BGD720986 BPZ720982:BPZ720986 BZV720982:BZV720986 CJR720982:CJR720986 CTN720982:CTN720986 DDJ720982:DDJ720986 DNF720982:DNF720986 DXB720982:DXB720986 EGX720982:EGX720986 EQT720982:EQT720986 FAP720982:FAP720986 FKL720982:FKL720986 FUH720982:FUH720986 GED720982:GED720986 GNZ720982:GNZ720986 GXV720982:GXV720986 HHR720982:HHR720986 HRN720982:HRN720986 IBJ720982:IBJ720986 ILF720982:ILF720986 IVB720982:IVB720986 JEX720982:JEX720986 JOT720982:JOT720986 JYP720982:JYP720986 KIL720982:KIL720986 KSH720982:KSH720986 LCD720982:LCD720986 LLZ720982:LLZ720986 LVV720982:LVV720986 MFR720982:MFR720986 MPN720982:MPN720986 MZJ720982:MZJ720986 NJF720982:NJF720986 NTB720982:NTB720986 OCX720982:OCX720986 OMT720982:OMT720986 OWP720982:OWP720986 PGL720982:PGL720986 PQH720982:PQH720986 QAD720982:QAD720986 QJZ720982:QJZ720986 QTV720982:QTV720986 RDR720982:RDR720986 RNN720982:RNN720986 RXJ720982:RXJ720986 SHF720982:SHF720986 SRB720982:SRB720986 TAX720982:TAX720986 TKT720982:TKT720986 TUP720982:TUP720986 UEL720982:UEL720986 UOH720982:UOH720986 UYD720982:UYD720986 VHZ720982:VHZ720986 VRV720982:VRV720986 WBR720982:WBR720986 WLN720982:WLN720986 WVJ720982:WVJ720986 B786518:B786522 IX786518:IX786522 ST786518:ST786522 ACP786518:ACP786522 AML786518:AML786522 AWH786518:AWH786522 BGD786518:BGD786522 BPZ786518:BPZ786522 BZV786518:BZV786522 CJR786518:CJR786522 CTN786518:CTN786522 DDJ786518:DDJ786522 DNF786518:DNF786522 DXB786518:DXB786522 EGX786518:EGX786522 EQT786518:EQT786522 FAP786518:FAP786522 FKL786518:FKL786522 FUH786518:FUH786522 GED786518:GED786522 GNZ786518:GNZ786522 GXV786518:GXV786522 HHR786518:HHR786522 HRN786518:HRN786522 IBJ786518:IBJ786522 ILF786518:ILF786522 IVB786518:IVB786522 JEX786518:JEX786522 JOT786518:JOT786522 JYP786518:JYP786522 KIL786518:KIL786522 KSH786518:KSH786522 LCD786518:LCD786522 LLZ786518:LLZ786522 LVV786518:LVV786522 MFR786518:MFR786522 MPN786518:MPN786522 MZJ786518:MZJ786522 NJF786518:NJF786522 NTB786518:NTB786522 OCX786518:OCX786522 OMT786518:OMT786522 OWP786518:OWP786522 PGL786518:PGL786522 PQH786518:PQH786522 QAD786518:QAD786522 QJZ786518:QJZ786522 QTV786518:QTV786522 RDR786518:RDR786522 RNN786518:RNN786522 RXJ786518:RXJ786522 SHF786518:SHF786522 SRB786518:SRB786522 TAX786518:TAX786522 TKT786518:TKT786522 TUP786518:TUP786522 UEL786518:UEL786522 UOH786518:UOH786522 UYD786518:UYD786522 VHZ786518:VHZ786522 VRV786518:VRV786522 WBR786518:WBR786522 WLN786518:WLN786522 WVJ786518:WVJ786522 B852054:B852058 IX852054:IX852058 ST852054:ST852058 ACP852054:ACP852058 AML852054:AML852058 AWH852054:AWH852058 BGD852054:BGD852058 BPZ852054:BPZ852058 BZV852054:BZV852058 CJR852054:CJR852058 CTN852054:CTN852058 DDJ852054:DDJ852058 DNF852054:DNF852058 DXB852054:DXB852058 EGX852054:EGX852058 EQT852054:EQT852058 FAP852054:FAP852058 FKL852054:FKL852058 FUH852054:FUH852058 GED852054:GED852058 GNZ852054:GNZ852058 GXV852054:GXV852058 HHR852054:HHR852058 HRN852054:HRN852058 IBJ852054:IBJ852058 ILF852054:ILF852058 IVB852054:IVB852058 JEX852054:JEX852058 JOT852054:JOT852058 JYP852054:JYP852058 KIL852054:KIL852058 KSH852054:KSH852058 LCD852054:LCD852058 LLZ852054:LLZ852058 LVV852054:LVV852058 MFR852054:MFR852058 MPN852054:MPN852058 MZJ852054:MZJ852058 NJF852054:NJF852058 NTB852054:NTB852058 OCX852054:OCX852058 OMT852054:OMT852058 OWP852054:OWP852058 PGL852054:PGL852058 PQH852054:PQH852058 QAD852054:QAD852058 QJZ852054:QJZ852058 QTV852054:QTV852058 RDR852054:RDR852058 RNN852054:RNN852058 RXJ852054:RXJ852058 SHF852054:SHF852058 SRB852054:SRB852058 TAX852054:TAX852058 TKT852054:TKT852058 TUP852054:TUP852058 UEL852054:UEL852058 UOH852054:UOH852058 UYD852054:UYD852058 VHZ852054:VHZ852058 VRV852054:VRV852058 WBR852054:WBR852058 WLN852054:WLN852058 WVJ852054:WVJ852058 B917590:B917594 IX917590:IX917594 ST917590:ST917594 ACP917590:ACP917594 AML917590:AML917594 AWH917590:AWH917594 BGD917590:BGD917594 BPZ917590:BPZ917594 BZV917590:BZV917594 CJR917590:CJR917594 CTN917590:CTN917594 DDJ917590:DDJ917594 DNF917590:DNF917594 DXB917590:DXB917594 EGX917590:EGX917594 EQT917590:EQT917594 FAP917590:FAP917594 FKL917590:FKL917594 FUH917590:FUH917594 GED917590:GED917594 GNZ917590:GNZ917594 GXV917590:GXV917594 HHR917590:HHR917594 HRN917590:HRN917594 IBJ917590:IBJ917594 ILF917590:ILF917594 IVB917590:IVB917594 JEX917590:JEX917594 JOT917590:JOT917594 JYP917590:JYP917594 KIL917590:KIL917594 KSH917590:KSH917594 LCD917590:LCD917594 LLZ917590:LLZ917594 LVV917590:LVV917594 MFR917590:MFR917594 MPN917590:MPN917594 MZJ917590:MZJ917594 NJF917590:NJF917594 NTB917590:NTB917594 OCX917590:OCX917594 OMT917590:OMT917594 OWP917590:OWP917594 PGL917590:PGL917594 PQH917590:PQH917594 QAD917590:QAD917594 QJZ917590:QJZ917594 QTV917590:QTV917594 RDR917590:RDR917594 RNN917590:RNN917594 RXJ917590:RXJ917594 SHF917590:SHF917594 SRB917590:SRB917594 TAX917590:TAX917594 TKT917590:TKT917594 TUP917590:TUP917594 UEL917590:UEL917594 UOH917590:UOH917594 UYD917590:UYD917594 VHZ917590:VHZ917594 VRV917590:VRV917594 WBR917590:WBR917594 WLN917590:WLN917594 WVJ917590:WVJ917594 B983126:B983130 IX983126:IX983130 ST983126:ST983130 ACP983126:ACP983130 AML983126:AML983130 AWH983126:AWH983130 BGD983126:BGD983130 BPZ983126:BPZ983130 BZV983126:BZV983130 CJR983126:CJR983130 CTN983126:CTN983130 DDJ983126:DDJ983130 DNF983126:DNF983130 DXB983126:DXB983130 EGX983126:EGX983130 EQT983126:EQT983130 FAP983126:FAP983130 FKL983126:FKL983130 FUH983126:FUH983130 GED983126:GED983130 GNZ983126:GNZ983130 GXV983126:GXV983130 HHR983126:HHR983130 HRN983126:HRN983130 IBJ983126:IBJ983130 ILF983126:ILF983130 IVB983126:IVB983130 JEX983126:JEX983130 JOT983126:JOT983130 JYP983126:JYP983130 KIL983126:KIL983130 KSH983126:KSH983130 LCD983126:LCD983130 LLZ983126:LLZ983130 LVV983126:LVV983130 MFR983126:MFR983130 MPN983126:MPN983130 MZJ983126:MZJ983130 NJF983126:NJF983130 NTB983126:NTB983130 OCX983126:OCX983130 OMT983126:OMT983130 OWP983126:OWP983130 PGL983126:PGL983130 PQH983126:PQH983130 QAD983126:QAD983130 QJZ983126:QJZ983130 QTV983126:QTV983130 RDR983126:RDR983130 RNN983126:RNN983130 RXJ983126:RXJ983130 SHF983126:SHF983130 SRB983126:SRB983130 TAX983126:TAX983130 TKT983126:TKT983130 TUP983126:TUP983130 UEL983126:UEL983130 UOH983126:UOH983130 UYD983126:UYD983130 VHZ983126:VHZ983130 VRV983126:VRV983130 WBR983126:WBR983130 WLN983126:WLN983130 WVJ983126:WVJ983130 B83 IX83 ST83 ACP83 AML83 AWH83 BGD83 BPZ83 BZV83 CJR83 CTN83 DDJ83 DNF83 DXB83 EGX83 EQT83 FAP83 FKL83 FUH83 GED83 GNZ83 GXV83 HHR83 HRN83 IBJ83 ILF83 IVB83 JEX83 JOT83 JYP83 KIL83 KSH83 LCD83 LLZ83 LVV83 MFR83 MPN83 MZJ83 NJF83 NTB83 OCX83 OMT83 OWP83 PGL83 PQH83 QAD83 QJZ83 QTV83 RDR83 RNN83 RXJ83 SHF83 SRB83 TAX83 TKT83 TUP83 UEL83 UOH83 UYD83 VHZ83 VRV83 WBR83 WLN83 WVJ83 B65620 IX65620 ST65620 ACP65620 AML65620 AWH65620 BGD65620 BPZ65620 BZV65620 CJR65620 CTN65620 DDJ65620 DNF65620 DXB65620 EGX65620 EQT65620 FAP65620 FKL65620 FUH65620 GED65620 GNZ65620 GXV65620 HHR65620 HRN65620 IBJ65620 ILF65620 IVB65620 JEX65620 JOT65620 JYP65620 KIL65620 KSH65620 LCD65620 LLZ65620 LVV65620 MFR65620 MPN65620 MZJ65620 NJF65620 NTB65620 OCX65620 OMT65620 OWP65620 PGL65620 PQH65620 QAD65620 QJZ65620 QTV65620 RDR65620 RNN65620 RXJ65620 SHF65620 SRB65620 TAX65620 TKT65620 TUP65620 UEL65620 UOH65620 UYD65620 VHZ65620 VRV65620 WBR65620 WLN65620 WVJ65620 B131156 IX131156 ST131156 ACP131156 AML131156 AWH131156 BGD131156 BPZ131156 BZV131156 CJR131156 CTN131156 DDJ131156 DNF131156 DXB131156 EGX131156 EQT131156 FAP131156 FKL131156 FUH131156 GED131156 GNZ131156 GXV131156 HHR131156 HRN131156 IBJ131156 ILF131156 IVB131156 JEX131156 JOT131156 JYP131156 KIL131156 KSH131156 LCD131156 LLZ131156 LVV131156 MFR131156 MPN131156 MZJ131156 NJF131156 NTB131156 OCX131156 OMT131156 OWP131156 PGL131156 PQH131156 QAD131156 QJZ131156 QTV131156 RDR131156 RNN131156 RXJ131156 SHF131156 SRB131156 TAX131156 TKT131156 TUP131156 UEL131156 UOH131156 UYD131156 VHZ131156 VRV131156 WBR131156 WLN131156 WVJ131156 B196692 IX196692 ST196692 ACP196692 AML196692 AWH196692 BGD196692 BPZ196692 BZV196692 CJR196692 CTN196692 DDJ196692 DNF196692 DXB196692 EGX196692 EQT196692 FAP196692 FKL196692 FUH196692 GED196692 GNZ196692 GXV196692 HHR196692 HRN196692 IBJ196692 ILF196692 IVB196692 JEX196692 JOT196692 JYP196692 KIL196692 KSH196692 LCD196692 LLZ196692 LVV196692 MFR196692 MPN196692 MZJ196692 NJF196692 NTB196692 OCX196692 OMT196692 OWP196692 PGL196692 PQH196692 QAD196692 QJZ196692 QTV196692 RDR196692 RNN196692 RXJ196692 SHF196692 SRB196692 TAX196692 TKT196692 TUP196692 UEL196692 UOH196692 UYD196692 VHZ196692 VRV196692 WBR196692 WLN196692 WVJ196692 B262228 IX262228 ST262228 ACP262228 AML262228 AWH262228 BGD262228 BPZ262228 BZV262228 CJR262228 CTN262228 DDJ262228 DNF262228 DXB262228 EGX262228 EQT262228 FAP262228 FKL262228 FUH262228 GED262228 GNZ262228 GXV262228 HHR262228 HRN262228 IBJ262228 ILF262228 IVB262228 JEX262228 JOT262228 JYP262228 KIL262228 KSH262228 LCD262228 LLZ262228 LVV262228 MFR262228 MPN262228 MZJ262228 NJF262228 NTB262228 OCX262228 OMT262228 OWP262228 PGL262228 PQH262228 QAD262228 QJZ262228 QTV262228 RDR262228 RNN262228 RXJ262228 SHF262228 SRB262228 TAX262228 TKT262228 TUP262228 UEL262228 UOH262228 UYD262228 VHZ262228 VRV262228 WBR262228 WLN262228 WVJ262228 B327764 IX327764 ST327764 ACP327764 AML327764 AWH327764 BGD327764 BPZ327764 BZV327764 CJR327764 CTN327764 DDJ327764 DNF327764 DXB327764 EGX327764 EQT327764 FAP327764 FKL327764 FUH327764 GED327764 GNZ327764 GXV327764 HHR327764 HRN327764 IBJ327764 ILF327764 IVB327764 JEX327764 JOT327764 JYP327764 KIL327764 KSH327764 LCD327764 LLZ327764 LVV327764 MFR327764 MPN327764 MZJ327764 NJF327764 NTB327764 OCX327764 OMT327764 OWP327764 PGL327764 PQH327764 QAD327764 QJZ327764 QTV327764 RDR327764 RNN327764 RXJ327764 SHF327764 SRB327764 TAX327764 TKT327764 TUP327764 UEL327764 UOH327764 UYD327764 VHZ327764 VRV327764 WBR327764 WLN327764 WVJ327764 B393300 IX393300 ST393300 ACP393300 AML393300 AWH393300 BGD393300 BPZ393300 BZV393300 CJR393300 CTN393300 DDJ393300 DNF393300 DXB393300 EGX393300 EQT393300 FAP393300 FKL393300 FUH393300 GED393300 GNZ393300 GXV393300 HHR393300 HRN393300 IBJ393300 ILF393300 IVB393300 JEX393300 JOT393300 JYP393300 KIL393300 KSH393300 LCD393300 LLZ393300 LVV393300 MFR393300 MPN393300 MZJ393300 NJF393300 NTB393300 OCX393300 OMT393300 OWP393300 PGL393300 PQH393300 QAD393300 QJZ393300 QTV393300 RDR393300 RNN393300 RXJ393300 SHF393300 SRB393300 TAX393300 TKT393300 TUP393300 UEL393300 UOH393300 UYD393300 VHZ393300 VRV393300 WBR393300 WLN393300 WVJ393300 B458836 IX458836 ST458836 ACP458836 AML458836 AWH458836 BGD458836 BPZ458836 BZV458836 CJR458836 CTN458836 DDJ458836 DNF458836 DXB458836 EGX458836 EQT458836 FAP458836 FKL458836 FUH458836 GED458836 GNZ458836 GXV458836 HHR458836 HRN458836 IBJ458836 ILF458836 IVB458836 JEX458836 JOT458836 JYP458836 KIL458836 KSH458836 LCD458836 LLZ458836 LVV458836 MFR458836 MPN458836 MZJ458836 NJF458836 NTB458836 OCX458836 OMT458836 OWP458836 PGL458836 PQH458836 QAD458836 QJZ458836 QTV458836 RDR458836 RNN458836 RXJ458836 SHF458836 SRB458836 TAX458836 TKT458836 TUP458836 UEL458836 UOH458836 UYD458836 VHZ458836 VRV458836 WBR458836 WLN458836 WVJ458836 B524372 IX524372 ST524372 ACP524372 AML524372 AWH524372 BGD524372 BPZ524372 BZV524372 CJR524372 CTN524372 DDJ524372 DNF524372 DXB524372 EGX524372 EQT524372 FAP524372 FKL524372 FUH524372 GED524372 GNZ524372 GXV524372 HHR524372 HRN524372 IBJ524372 ILF524372 IVB524372 JEX524372 JOT524372 JYP524372 KIL524372 KSH524372 LCD524372 LLZ524372 LVV524372 MFR524372 MPN524372 MZJ524372 NJF524372 NTB524372 OCX524372 OMT524372 OWP524372 PGL524372 PQH524372 QAD524372 QJZ524372 QTV524372 RDR524372 RNN524372 RXJ524372 SHF524372 SRB524372 TAX524372 TKT524372 TUP524372 UEL524372 UOH524372 UYD524372 VHZ524372 VRV524372 WBR524372 WLN524372 WVJ524372 B589908 IX589908 ST589908 ACP589908 AML589908 AWH589908 BGD589908 BPZ589908 BZV589908 CJR589908 CTN589908 DDJ589908 DNF589908 DXB589908 EGX589908 EQT589908 FAP589908 FKL589908 FUH589908 GED589908 GNZ589908 GXV589908 HHR589908 HRN589908 IBJ589908 ILF589908 IVB589908 JEX589908 JOT589908 JYP589908 KIL589908 KSH589908 LCD589908 LLZ589908 LVV589908 MFR589908 MPN589908 MZJ589908 NJF589908 NTB589908 OCX589908 OMT589908 OWP589908 PGL589908 PQH589908 QAD589908 QJZ589908 QTV589908 RDR589908 RNN589908 RXJ589908 SHF589908 SRB589908 TAX589908 TKT589908 TUP589908 UEL589908 UOH589908 UYD589908 VHZ589908 VRV589908 WBR589908 WLN589908 WVJ589908 B655444 IX655444 ST655444 ACP655444 AML655444 AWH655444 BGD655444 BPZ655444 BZV655444 CJR655444 CTN655444 DDJ655444 DNF655444 DXB655444 EGX655444 EQT655444 FAP655444 FKL655444 FUH655444 GED655444 GNZ655444 GXV655444 HHR655444 HRN655444 IBJ655444 ILF655444 IVB655444 JEX655444 JOT655444 JYP655444 KIL655444 KSH655444 LCD655444 LLZ655444 LVV655444 MFR655444 MPN655444 MZJ655444 NJF655444 NTB655444 OCX655444 OMT655444 OWP655444 PGL655444 PQH655444 QAD655444 QJZ655444 QTV655444 RDR655444 RNN655444 RXJ655444 SHF655444 SRB655444 TAX655444 TKT655444 TUP655444 UEL655444 UOH655444 UYD655444 VHZ655444 VRV655444 WBR655444 WLN655444 WVJ655444 B720980 IX720980 ST720980 ACP720980 AML720980 AWH720980 BGD720980 BPZ720980 BZV720980 CJR720980 CTN720980 DDJ720980 DNF720980 DXB720980 EGX720980 EQT720980 FAP720980 FKL720980 FUH720980 GED720980 GNZ720980 GXV720980 HHR720980 HRN720980 IBJ720980 ILF720980 IVB720980 JEX720980 JOT720980 JYP720980 KIL720980 KSH720980 LCD720980 LLZ720980 LVV720980 MFR720980 MPN720980 MZJ720980 NJF720980 NTB720980 OCX720980 OMT720980 OWP720980 PGL720980 PQH720980 QAD720980 QJZ720980 QTV720980 RDR720980 RNN720980 RXJ720980 SHF720980 SRB720980 TAX720980 TKT720980 TUP720980 UEL720980 UOH720980 UYD720980 VHZ720980 VRV720980 WBR720980 WLN720980 WVJ720980 B786516 IX786516 ST786516 ACP786516 AML786516 AWH786516 BGD786516 BPZ786516 BZV786516 CJR786516 CTN786516 DDJ786516 DNF786516 DXB786516 EGX786516 EQT786516 FAP786516 FKL786516 FUH786516 GED786516 GNZ786516 GXV786516 HHR786516 HRN786516 IBJ786516 ILF786516 IVB786516 JEX786516 JOT786516 JYP786516 KIL786516 KSH786516 LCD786516 LLZ786516 LVV786516 MFR786516 MPN786516 MZJ786516 NJF786516 NTB786516 OCX786516 OMT786516 OWP786516 PGL786516 PQH786516 QAD786516 QJZ786516 QTV786516 RDR786516 RNN786516 RXJ786516 SHF786516 SRB786516 TAX786516 TKT786516 TUP786516 UEL786516 UOH786516 UYD786516 VHZ786516 VRV786516 WBR786516 WLN786516 WVJ786516 B852052 IX852052 ST852052 ACP852052 AML852052 AWH852052 BGD852052 BPZ852052 BZV852052 CJR852052 CTN852052 DDJ852052 DNF852052 DXB852052 EGX852052 EQT852052 FAP852052 FKL852052 FUH852052 GED852052 GNZ852052 GXV852052 HHR852052 HRN852052 IBJ852052 ILF852052 IVB852052 JEX852052 JOT852052 JYP852052 KIL852052 KSH852052 LCD852052 LLZ852052 LVV852052 MFR852052 MPN852052 MZJ852052 NJF852052 NTB852052 OCX852052 OMT852052 OWP852052 PGL852052 PQH852052 QAD852052 QJZ852052 QTV852052 RDR852052 RNN852052 RXJ852052 SHF852052 SRB852052 TAX852052 TKT852052 TUP852052 UEL852052 UOH852052 UYD852052 VHZ852052 VRV852052 WBR852052 WLN852052 WVJ852052 B917588 IX917588 ST917588 ACP917588 AML917588 AWH917588 BGD917588 BPZ917588 BZV917588 CJR917588 CTN917588 DDJ917588 DNF917588 DXB917588 EGX917588 EQT917588 FAP917588 FKL917588 FUH917588 GED917588 GNZ917588 GXV917588 HHR917588 HRN917588 IBJ917588 ILF917588 IVB917588 JEX917588 JOT917588 JYP917588 KIL917588 KSH917588 LCD917588 LLZ917588 LVV917588 MFR917588 MPN917588 MZJ917588 NJF917588 NTB917588 OCX917588 OMT917588 OWP917588 PGL917588 PQH917588 QAD917588 QJZ917588 QTV917588 RDR917588 RNN917588 RXJ917588 SHF917588 SRB917588 TAX917588 TKT917588 TUP917588 UEL917588 UOH917588 UYD917588 VHZ917588 VRV917588 WBR917588 WLN917588 WVJ917588 B983124 IX983124 ST983124 ACP983124 AML983124 AWH983124 BGD983124 BPZ983124 BZV983124 CJR983124 CTN983124 DDJ983124 DNF983124 DXB983124 EGX983124 EQT983124 FAP983124 FKL983124 FUH983124 GED983124 GNZ983124 GXV983124 HHR983124 HRN983124 IBJ983124 ILF983124 IVB983124 JEX983124 JOT983124 JYP983124 KIL983124 KSH983124 LCD983124 LLZ983124 LVV983124 MFR983124 MPN983124 MZJ983124 NJF983124 NTB983124 OCX983124 OMT983124 OWP983124 PGL983124 PQH983124 QAD983124 QJZ983124 QTV983124 RDR983124 RNN983124 RXJ983124 SHF983124 SRB983124 TAX983124 TKT983124 TUP983124 UEL983124 UOH983124 UYD983124 VHZ983124 VRV983124 WBR983124 WLN983124 WVJ983124 WVJ85:WVJ88 WLN85:WLN88 WBR85:WBR88 VRV85:VRV88 VHZ85:VHZ88 UYD85:UYD88 UOH85:UOH88 UEL85:UEL88 TUP85:TUP88 TKT85:TKT88 TAX85:TAX88 SRB85:SRB88 SHF85:SHF88 RXJ85:RXJ88 RNN85:RNN88 RDR85:RDR88 QTV85:QTV88 QJZ85:QJZ88 QAD85:QAD88 PQH85:PQH88 PGL85:PGL88 OWP85:OWP88 OMT85:OMT88 OCX85:OCX88 NTB85:NTB88 NJF85:NJF88 MZJ85:MZJ88 MPN85:MPN88 MFR85:MFR88 LVV85:LVV88 LLZ85:LLZ88 LCD85:LCD88 KSH85:KSH88 KIL85:KIL88 JYP85:JYP88 JOT85:JOT88 JEX85:JEX88 IVB85:IVB88 ILF85:ILF88 IBJ85:IBJ88 HRN85:HRN88 HHR85:HHR88 GXV85:GXV88 GNZ85:GNZ88 GED85:GED88 FUH85:FUH88 FKL85:FKL88 FAP85:FAP88 EQT85:EQT88 EGX85:EGX88 DXB85:DXB88 DNF85:DNF88 DDJ85:DDJ88 CTN85:CTN88 CJR85:CJR88 BZV85:BZV88 BPZ85:BPZ88 BGD85:BGD88 AWH85:AWH88 AML85:AML88 ACP85:ACP88 ST85:ST88 IX85:IX88 B85:B88">
      <formula1>$R$81</formula1>
    </dataValidation>
    <dataValidation type="list" allowBlank="1" showInputMessage="1" showErrorMessage="1" sqref="B60:B70 IX60:IX70 ST60:ST70 ACP60:ACP70 AML60:AML70 AWH60:AWH70 BGD60:BGD70 BPZ60:BPZ70 BZV60:BZV70 CJR60:CJR70 CTN60:CTN70 DDJ60:DDJ70 DNF60:DNF70 DXB60:DXB70 EGX60:EGX70 EQT60:EQT70 FAP60:FAP70 FKL60:FKL70 FUH60:FUH70 GED60:GED70 GNZ60:GNZ70 GXV60:GXV70 HHR60:HHR70 HRN60:HRN70 IBJ60:IBJ70 ILF60:ILF70 IVB60:IVB70 JEX60:JEX70 JOT60:JOT70 JYP60:JYP70 KIL60:KIL70 KSH60:KSH70 LCD60:LCD70 LLZ60:LLZ70 LVV60:LVV70 MFR60:MFR70 MPN60:MPN70 MZJ60:MZJ70 NJF60:NJF70 NTB60:NTB70 OCX60:OCX70 OMT60:OMT70 OWP60:OWP70 PGL60:PGL70 PQH60:PQH70 QAD60:QAD70 QJZ60:QJZ70 QTV60:QTV70 RDR60:RDR70 RNN60:RNN70 RXJ60:RXJ70 SHF60:SHF70 SRB60:SRB70 TAX60:TAX70 TKT60:TKT70 TUP60:TUP70 UEL60:UEL70 UOH60:UOH70 UYD60:UYD70 VHZ60:VHZ70 VRV60:VRV70 WBR60:WBR70 WLN60:WLN70 WVJ60:WVJ70 B65564:B65574 IX65564:IX65574 ST65564:ST65574 ACP65564:ACP65574 AML65564:AML65574 AWH65564:AWH65574 BGD65564:BGD65574 BPZ65564:BPZ65574 BZV65564:BZV65574 CJR65564:CJR65574 CTN65564:CTN65574 DDJ65564:DDJ65574 DNF65564:DNF65574 DXB65564:DXB65574 EGX65564:EGX65574 EQT65564:EQT65574 FAP65564:FAP65574 FKL65564:FKL65574 FUH65564:FUH65574 GED65564:GED65574 GNZ65564:GNZ65574 GXV65564:GXV65574 HHR65564:HHR65574 HRN65564:HRN65574 IBJ65564:IBJ65574 ILF65564:ILF65574 IVB65564:IVB65574 JEX65564:JEX65574 JOT65564:JOT65574 JYP65564:JYP65574 KIL65564:KIL65574 KSH65564:KSH65574 LCD65564:LCD65574 LLZ65564:LLZ65574 LVV65564:LVV65574 MFR65564:MFR65574 MPN65564:MPN65574 MZJ65564:MZJ65574 NJF65564:NJF65574 NTB65564:NTB65574 OCX65564:OCX65574 OMT65564:OMT65574 OWP65564:OWP65574 PGL65564:PGL65574 PQH65564:PQH65574 QAD65564:QAD65574 QJZ65564:QJZ65574 QTV65564:QTV65574 RDR65564:RDR65574 RNN65564:RNN65574 RXJ65564:RXJ65574 SHF65564:SHF65574 SRB65564:SRB65574 TAX65564:TAX65574 TKT65564:TKT65574 TUP65564:TUP65574 UEL65564:UEL65574 UOH65564:UOH65574 UYD65564:UYD65574 VHZ65564:VHZ65574 VRV65564:VRV65574 WBR65564:WBR65574 WLN65564:WLN65574 WVJ65564:WVJ65574 B131100:B131110 IX131100:IX131110 ST131100:ST131110 ACP131100:ACP131110 AML131100:AML131110 AWH131100:AWH131110 BGD131100:BGD131110 BPZ131100:BPZ131110 BZV131100:BZV131110 CJR131100:CJR131110 CTN131100:CTN131110 DDJ131100:DDJ131110 DNF131100:DNF131110 DXB131100:DXB131110 EGX131100:EGX131110 EQT131100:EQT131110 FAP131100:FAP131110 FKL131100:FKL131110 FUH131100:FUH131110 GED131100:GED131110 GNZ131100:GNZ131110 GXV131100:GXV131110 HHR131100:HHR131110 HRN131100:HRN131110 IBJ131100:IBJ131110 ILF131100:ILF131110 IVB131100:IVB131110 JEX131100:JEX131110 JOT131100:JOT131110 JYP131100:JYP131110 KIL131100:KIL131110 KSH131100:KSH131110 LCD131100:LCD131110 LLZ131100:LLZ131110 LVV131100:LVV131110 MFR131100:MFR131110 MPN131100:MPN131110 MZJ131100:MZJ131110 NJF131100:NJF131110 NTB131100:NTB131110 OCX131100:OCX131110 OMT131100:OMT131110 OWP131100:OWP131110 PGL131100:PGL131110 PQH131100:PQH131110 QAD131100:QAD131110 QJZ131100:QJZ131110 QTV131100:QTV131110 RDR131100:RDR131110 RNN131100:RNN131110 RXJ131100:RXJ131110 SHF131100:SHF131110 SRB131100:SRB131110 TAX131100:TAX131110 TKT131100:TKT131110 TUP131100:TUP131110 UEL131100:UEL131110 UOH131100:UOH131110 UYD131100:UYD131110 VHZ131100:VHZ131110 VRV131100:VRV131110 WBR131100:WBR131110 WLN131100:WLN131110 WVJ131100:WVJ131110 B196636:B196646 IX196636:IX196646 ST196636:ST196646 ACP196636:ACP196646 AML196636:AML196646 AWH196636:AWH196646 BGD196636:BGD196646 BPZ196636:BPZ196646 BZV196636:BZV196646 CJR196636:CJR196646 CTN196636:CTN196646 DDJ196636:DDJ196646 DNF196636:DNF196646 DXB196636:DXB196646 EGX196636:EGX196646 EQT196636:EQT196646 FAP196636:FAP196646 FKL196636:FKL196646 FUH196636:FUH196646 GED196636:GED196646 GNZ196636:GNZ196646 GXV196636:GXV196646 HHR196636:HHR196646 HRN196636:HRN196646 IBJ196636:IBJ196646 ILF196636:ILF196646 IVB196636:IVB196646 JEX196636:JEX196646 JOT196636:JOT196646 JYP196636:JYP196646 KIL196636:KIL196646 KSH196636:KSH196646 LCD196636:LCD196646 LLZ196636:LLZ196646 LVV196636:LVV196646 MFR196636:MFR196646 MPN196636:MPN196646 MZJ196636:MZJ196646 NJF196636:NJF196646 NTB196636:NTB196646 OCX196636:OCX196646 OMT196636:OMT196646 OWP196636:OWP196646 PGL196636:PGL196646 PQH196636:PQH196646 QAD196636:QAD196646 QJZ196636:QJZ196646 QTV196636:QTV196646 RDR196636:RDR196646 RNN196636:RNN196646 RXJ196636:RXJ196646 SHF196636:SHF196646 SRB196636:SRB196646 TAX196636:TAX196646 TKT196636:TKT196646 TUP196636:TUP196646 UEL196636:UEL196646 UOH196636:UOH196646 UYD196636:UYD196646 VHZ196636:VHZ196646 VRV196636:VRV196646 WBR196636:WBR196646 WLN196636:WLN196646 WVJ196636:WVJ196646 B262172:B262182 IX262172:IX262182 ST262172:ST262182 ACP262172:ACP262182 AML262172:AML262182 AWH262172:AWH262182 BGD262172:BGD262182 BPZ262172:BPZ262182 BZV262172:BZV262182 CJR262172:CJR262182 CTN262172:CTN262182 DDJ262172:DDJ262182 DNF262172:DNF262182 DXB262172:DXB262182 EGX262172:EGX262182 EQT262172:EQT262182 FAP262172:FAP262182 FKL262172:FKL262182 FUH262172:FUH262182 GED262172:GED262182 GNZ262172:GNZ262182 GXV262172:GXV262182 HHR262172:HHR262182 HRN262172:HRN262182 IBJ262172:IBJ262182 ILF262172:ILF262182 IVB262172:IVB262182 JEX262172:JEX262182 JOT262172:JOT262182 JYP262172:JYP262182 KIL262172:KIL262182 KSH262172:KSH262182 LCD262172:LCD262182 LLZ262172:LLZ262182 LVV262172:LVV262182 MFR262172:MFR262182 MPN262172:MPN262182 MZJ262172:MZJ262182 NJF262172:NJF262182 NTB262172:NTB262182 OCX262172:OCX262182 OMT262172:OMT262182 OWP262172:OWP262182 PGL262172:PGL262182 PQH262172:PQH262182 QAD262172:QAD262182 QJZ262172:QJZ262182 QTV262172:QTV262182 RDR262172:RDR262182 RNN262172:RNN262182 RXJ262172:RXJ262182 SHF262172:SHF262182 SRB262172:SRB262182 TAX262172:TAX262182 TKT262172:TKT262182 TUP262172:TUP262182 UEL262172:UEL262182 UOH262172:UOH262182 UYD262172:UYD262182 VHZ262172:VHZ262182 VRV262172:VRV262182 WBR262172:WBR262182 WLN262172:WLN262182 WVJ262172:WVJ262182 B327708:B327718 IX327708:IX327718 ST327708:ST327718 ACP327708:ACP327718 AML327708:AML327718 AWH327708:AWH327718 BGD327708:BGD327718 BPZ327708:BPZ327718 BZV327708:BZV327718 CJR327708:CJR327718 CTN327708:CTN327718 DDJ327708:DDJ327718 DNF327708:DNF327718 DXB327708:DXB327718 EGX327708:EGX327718 EQT327708:EQT327718 FAP327708:FAP327718 FKL327708:FKL327718 FUH327708:FUH327718 GED327708:GED327718 GNZ327708:GNZ327718 GXV327708:GXV327718 HHR327708:HHR327718 HRN327708:HRN327718 IBJ327708:IBJ327718 ILF327708:ILF327718 IVB327708:IVB327718 JEX327708:JEX327718 JOT327708:JOT327718 JYP327708:JYP327718 KIL327708:KIL327718 KSH327708:KSH327718 LCD327708:LCD327718 LLZ327708:LLZ327718 LVV327708:LVV327718 MFR327708:MFR327718 MPN327708:MPN327718 MZJ327708:MZJ327718 NJF327708:NJF327718 NTB327708:NTB327718 OCX327708:OCX327718 OMT327708:OMT327718 OWP327708:OWP327718 PGL327708:PGL327718 PQH327708:PQH327718 QAD327708:QAD327718 QJZ327708:QJZ327718 QTV327708:QTV327718 RDR327708:RDR327718 RNN327708:RNN327718 RXJ327708:RXJ327718 SHF327708:SHF327718 SRB327708:SRB327718 TAX327708:TAX327718 TKT327708:TKT327718 TUP327708:TUP327718 UEL327708:UEL327718 UOH327708:UOH327718 UYD327708:UYD327718 VHZ327708:VHZ327718 VRV327708:VRV327718 WBR327708:WBR327718 WLN327708:WLN327718 WVJ327708:WVJ327718 B393244:B393254 IX393244:IX393254 ST393244:ST393254 ACP393244:ACP393254 AML393244:AML393254 AWH393244:AWH393254 BGD393244:BGD393254 BPZ393244:BPZ393254 BZV393244:BZV393254 CJR393244:CJR393254 CTN393244:CTN393254 DDJ393244:DDJ393254 DNF393244:DNF393254 DXB393244:DXB393254 EGX393244:EGX393254 EQT393244:EQT393254 FAP393244:FAP393254 FKL393244:FKL393254 FUH393244:FUH393254 GED393244:GED393254 GNZ393244:GNZ393254 GXV393244:GXV393254 HHR393244:HHR393254 HRN393244:HRN393254 IBJ393244:IBJ393254 ILF393244:ILF393254 IVB393244:IVB393254 JEX393244:JEX393254 JOT393244:JOT393254 JYP393244:JYP393254 KIL393244:KIL393254 KSH393244:KSH393254 LCD393244:LCD393254 LLZ393244:LLZ393254 LVV393244:LVV393254 MFR393244:MFR393254 MPN393244:MPN393254 MZJ393244:MZJ393254 NJF393244:NJF393254 NTB393244:NTB393254 OCX393244:OCX393254 OMT393244:OMT393254 OWP393244:OWP393254 PGL393244:PGL393254 PQH393244:PQH393254 QAD393244:QAD393254 QJZ393244:QJZ393254 QTV393244:QTV393254 RDR393244:RDR393254 RNN393244:RNN393254 RXJ393244:RXJ393254 SHF393244:SHF393254 SRB393244:SRB393254 TAX393244:TAX393254 TKT393244:TKT393254 TUP393244:TUP393254 UEL393244:UEL393254 UOH393244:UOH393254 UYD393244:UYD393254 VHZ393244:VHZ393254 VRV393244:VRV393254 WBR393244:WBR393254 WLN393244:WLN393254 WVJ393244:WVJ393254 B458780:B458790 IX458780:IX458790 ST458780:ST458790 ACP458780:ACP458790 AML458780:AML458790 AWH458780:AWH458790 BGD458780:BGD458790 BPZ458780:BPZ458790 BZV458780:BZV458790 CJR458780:CJR458790 CTN458780:CTN458790 DDJ458780:DDJ458790 DNF458780:DNF458790 DXB458780:DXB458790 EGX458780:EGX458790 EQT458780:EQT458790 FAP458780:FAP458790 FKL458780:FKL458790 FUH458780:FUH458790 GED458780:GED458790 GNZ458780:GNZ458790 GXV458780:GXV458790 HHR458780:HHR458790 HRN458780:HRN458790 IBJ458780:IBJ458790 ILF458780:ILF458790 IVB458780:IVB458790 JEX458780:JEX458790 JOT458780:JOT458790 JYP458780:JYP458790 KIL458780:KIL458790 KSH458780:KSH458790 LCD458780:LCD458790 LLZ458780:LLZ458790 LVV458780:LVV458790 MFR458780:MFR458790 MPN458780:MPN458790 MZJ458780:MZJ458790 NJF458780:NJF458790 NTB458780:NTB458790 OCX458780:OCX458790 OMT458780:OMT458790 OWP458780:OWP458790 PGL458780:PGL458790 PQH458780:PQH458790 QAD458780:QAD458790 QJZ458780:QJZ458790 QTV458780:QTV458790 RDR458780:RDR458790 RNN458780:RNN458790 RXJ458780:RXJ458790 SHF458780:SHF458790 SRB458780:SRB458790 TAX458780:TAX458790 TKT458780:TKT458790 TUP458780:TUP458790 UEL458780:UEL458790 UOH458780:UOH458790 UYD458780:UYD458790 VHZ458780:VHZ458790 VRV458780:VRV458790 WBR458780:WBR458790 WLN458780:WLN458790 WVJ458780:WVJ458790 B524316:B524326 IX524316:IX524326 ST524316:ST524326 ACP524316:ACP524326 AML524316:AML524326 AWH524316:AWH524326 BGD524316:BGD524326 BPZ524316:BPZ524326 BZV524316:BZV524326 CJR524316:CJR524326 CTN524316:CTN524326 DDJ524316:DDJ524326 DNF524316:DNF524326 DXB524316:DXB524326 EGX524316:EGX524326 EQT524316:EQT524326 FAP524316:FAP524326 FKL524316:FKL524326 FUH524316:FUH524326 GED524316:GED524326 GNZ524316:GNZ524326 GXV524316:GXV524326 HHR524316:HHR524326 HRN524316:HRN524326 IBJ524316:IBJ524326 ILF524316:ILF524326 IVB524316:IVB524326 JEX524316:JEX524326 JOT524316:JOT524326 JYP524316:JYP524326 KIL524316:KIL524326 KSH524316:KSH524326 LCD524316:LCD524326 LLZ524316:LLZ524326 LVV524316:LVV524326 MFR524316:MFR524326 MPN524316:MPN524326 MZJ524316:MZJ524326 NJF524316:NJF524326 NTB524316:NTB524326 OCX524316:OCX524326 OMT524316:OMT524326 OWP524316:OWP524326 PGL524316:PGL524326 PQH524316:PQH524326 QAD524316:QAD524326 QJZ524316:QJZ524326 QTV524316:QTV524326 RDR524316:RDR524326 RNN524316:RNN524326 RXJ524316:RXJ524326 SHF524316:SHF524326 SRB524316:SRB524326 TAX524316:TAX524326 TKT524316:TKT524326 TUP524316:TUP524326 UEL524316:UEL524326 UOH524316:UOH524326 UYD524316:UYD524326 VHZ524316:VHZ524326 VRV524316:VRV524326 WBR524316:WBR524326 WLN524316:WLN524326 WVJ524316:WVJ524326 B589852:B589862 IX589852:IX589862 ST589852:ST589862 ACP589852:ACP589862 AML589852:AML589862 AWH589852:AWH589862 BGD589852:BGD589862 BPZ589852:BPZ589862 BZV589852:BZV589862 CJR589852:CJR589862 CTN589852:CTN589862 DDJ589852:DDJ589862 DNF589852:DNF589862 DXB589852:DXB589862 EGX589852:EGX589862 EQT589852:EQT589862 FAP589852:FAP589862 FKL589852:FKL589862 FUH589852:FUH589862 GED589852:GED589862 GNZ589852:GNZ589862 GXV589852:GXV589862 HHR589852:HHR589862 HRN589852:HRN589862 IBJ589852:IBJ589862 ILF589852:ILF589862 IVB589852:IVB589862 JEX589852:JEX589862 JOT589852:JOT589862 JYP589852:JYP589862 KIL589852:KIL589862 KSH589852:KSH589862 LCD589852:LCD589862 LLZ589852:LLZ589862 LVV589852:LVV589862 MFR589852:MFR589862 MPN589852:MPN589862 MZJ589852:MZJ589862 NJF589852:NJF589862 NTB589852:NTB589862 OCX589852:OCX589862 OMT589852:OMT589862 OWP589852:OWP589862 PGL589852:PGL589862 PQH589852:PQH589862 QAD589852:QAD589862 QJZ589852:QJZ589862 QTV589852:QTV589862 RDR589852:RDR589862 RNN589852:RNN589862 RXJ589852:RXJ589862 SHF589852:SHF589862 SRB589852:SRB589862 TAX589852:TAX589862 TKT589852:TKT589862 TUP589852:TUP589862 UEL589852:UEL589862 UOH589852:UOH589862 UYD589852:UYD589862 VHZ589852:VHZ589862 VRV589852:VRV589862 WBR589852:WBR589862 WLN589852:WLN589862 WVJ589852:WVJ589862 B655388:B655398 IX655388:IX655398 ST655388:ST655398 ACP655388:ACP655398 AML655388:AML655398 AWH655388:AWH655398 BGD655388:BGD655398 BPZ655388:BPZ655398 BZV655388:BZV655398 CJR655388:CJR655398 CTN655388:CTN655398 DDJ655388:DDJ655398 DNF655388:DNF655398 DXB655388:DXB655398 EGX655388:EGX655398 EQT655388:EQT655398 FAP655388:FAP655398 FKL655388:FKL655398 FUH655388:FUH655398 GED655388:GED655398 GNZ655388:GNZ655398 GXV655388:GXV655398 HHR655388:HHR655398 HRN655388:HRN655398 IBJ655388:IBJ655398 ILF655388:ILF655398 IVB655388:IVB655398 JEX655388:JEX655398 JOT655388:JOT655398 JYP655388:JYP655398 KIL655388:KIL655398 KSH655388:KSH655398 LCD655388:LCD655398 LLZ655388:LLZ655398 LVV655388:LVV655398 MFR655388:MFR655398 MPN655388:MPN655398 MZJ655388:MZJ655398 NJF655388:NJF655398 NTB655388:NTB655398 OCX655388:OCX655398 OMT655388:OMT655398 OWP655388:OWP655398 PGL655388:PGL655398 PQH655388:PQH655398 QAD655388:QAD655398 QJZ655388:QJZ655398 QTV655388:QTV655398 RDR655388:RDR655398 RNN655388:RNN655398 RXJ655388:RXJ655398 SHF655388:SHF655398 SRB655388:SRB655398 TAX655388:TAX655398 TKT655388:TKT655398 TUP655388:TUP655398 UEL655388:UEL655398 UOH655388:UOH655398 UYD655388:UYD655398 VHZ655388:VHZ655398 VRV655388:VRV655398 WBR655388:WBR655398 WLN655388:WLN655398 WVJ655388:WVJ655398 B720924:B720934 IX720924:IX720934 ST720924:ST720934 ACP720924:ACP720934 AML720924:AML720934 AWH720924:AWH720934 BGD720924:BGD720934 BPZ720924:BPZ720934 BZV720924:BZV720934 CJR720924:CJR720934 CTN720924:CTN720934 DDJ720924:DDJ720934 DNF720924:DNF720934 DXB720924:DXB720934 EGX720924:EGX720934 EQT720924:EQT720934 FAP720924:FAP720934 FKL720924:FKL720934 FUH720924:FUH720934 GED720924:GED720934 GNZ720924:GNZ720934 GXV720924:GXV720934 HHR720924:HHR720934 HRN720924:HRN720934 IBJ720924:IBJ720934 ILF720924:ILF720934 IVB720924:IVB720934 JEX720924:JEX720934 JOT720924:JOT720934 JYP720924:JYP720934 KIL720924:KIL720934 KSH720924:KSH720934 LCD720924:LCD720934 LLZ720924:LLZ720934 LVV720924:LVV720934 MFR720924:MFR720934 MPN720924:MPN720934 MZJ720924:MZJ720934 NJF720924:NJF720934 NTB720924:NTB720934 OCX720924:OCX720934 OMT720924:OMT720934 OWP720924:OWP720934 PGL720924:PGL720934 PQH720924:PQH720934 QAD720924:QAD720934 QJZ720924:QJZ720934 QTV720924:QTV720934 RDR720924:RDR720934 RNN720924:RNN720934 RXJ720924:RXJ720934 SHF720924:SHF720934 SRB720924:SRB720934 TAX720924:TAX720934 TKT720924:TKT720934 TUP720924:TUP720934 UEL720924:UEL720934 UOH720924:UOH720934 UYD720924:UYD720934 VHZ720924:VHZ720934 VRV720924:VRV720934 WBR720924:WBR720934 WLN720924:WLN720934 WVJ720924:WVJ720934 B786460:B786470 IX786460:IX786470 ST786460:ST786470 ACP786460:ACP786470 AML786460:AML786470 AWH786460:AWH786470 BGD786460:BGD786470 BPZ786460:BPZ786470 BZV786460:BZV786470 CJR786460:CJR786470 CTN786460:CTN786470 DDJ786460:DDJ786470 DNF786460:DNF786470 DXB786460:DXB786470 EGX786460:EGX786470 EQT786460:EQT786470 FAP786460:FAP786470 FKL786460:FKL786470 FUH786460:FUH786470 GED786460:GED786470 GNZ786460:GNZ786470 GXV786460:GXV786470 HHR786460:HHR786470 HRN786460:HRN786470 IBJ786460:IBJ786470 ILF786460:ILF786470 IVB786460:IVB786470 JEX786460:JEX786470 JOT786460:JOT786470 JYP786460:JYP786470 KIL786460:KIL786470 KSH786460:KSH786470 LCD786460:LCD786470 LLZ786460:LLZ786470 LVV786460:LVV786470 MFR786460:MFR786470 MPN786460:MPN786470 MZJ786460:MZJ786470 NJF786460:NJF786470 NTB786460:NTB786470 OCX786460:OCX786470 OMT786460:OMT786470 OWP786460:OWP786470 PGL786460:PGL786470 PQH786460:PQH786470 QAD786460:QAD786470 QJZ786460:QJZ786470 QTV786460:QTV786470 RDR786460:RDR786470 RNN786460:RNN786470 RXJ786460:RXJ786470 SHF786460:SHF786470 SRB786460:SRB786470 TAX786460:TAX786470 TKT786460:TKT786470 TUP786460:TUP786470 UEL786460:UEL786470 UOH786460:UOH786470 UYD786460:UYD786470 VHZ786460:VHZ786470 VRV786460:VRV786470 WBR786460:WBR786470 WLN786460:WLN786470 WVJ786460:WVJ786470 B851996:B852006 IX851996:IX852006 ST851996:ST852006 ACP851996:ACP852006 AML851996:AML852006 AWH851996:AWH852006 BGD851996:BGD852006 BPZ851996:BPZ852006 BZV851996:BZV852006 CJR851996:CJR852006 CTN851996:CTN852006 DDJ851996:DDJ852006 DNF851996:DNF852006 DXB851996:DXB852006 EGX851996:EGX852006 EQT851996:EQT852006 FAP851996:FAP852006 FKL851996:FKL852006 FUH851996:FUH852006 GED851996:GED852006 GNZ851996:GNZ852006 GXV851996:GXV852006 HHR851996:HHR852006 HRN851996:HRN852006 IBJ851996:IBJ852006 ILF851996:ILF852006 IVB851996:IVB852006 JEX851996:JEX852006 JOT851996:JOT852006 JYP851996:JYP852006 KIL851996:KIL852006 KSH851996:KSH852006 LCD851996:LCD852006 LLZ851996:LLZ852006 LVV851996:LVV852006 MFR851996:MFR852006 MPN851996:MPN852006 MZJ851996:MZJ852006 NJF851996:NJF852006 NTB851996:NTB852006 OCX851996:OCX852006 OMT851996:OMT852006 OWP851996:OWP852006 PGL851996:PGL852006 PQH851996:PQH852006 QAD851996:QAD852006 QJZ851996:QJZ852006 QTV851996:QTV852006 RDR851996:RDR852006 RNN851996:RNN852006 RXJ851996:RXJ852006 SHF851996:SHF852006 SRB851996:SRB852006 TAX851996:TAX852006 TKT851996:TKT852006 TUP851996:TUP852006 UEL851996:UEL852006 UOH851996:UOH852006 UYD851996:UYD852006 VHZ851996:VHZ852006 VRV851996:VRV852006 WBR851996:WBR852006 WLN851996:WLN852006 WVJ851996:WVJ852006 B917532:B917542 IX917532:IX917542 ST917532:ST917542 ACP917532:ACP917542 AML917532:AML917542 AWH917532:AWH917542 BGD917532:BGD917542 BPZ917532:BPZ917542 BZV917532:BZV917542 CJR917532:CJR917542 CTN917532:CTN917542 DDJ917532:DDJ917542 DNF917532:DNF917542 DXB917532:DXB917542 EGX917532:EGX917542 EQT917532:EQT917542 FAP917532:FAP917542 FKL917532:FKL917542 FUH917532:FUH917542 GED917532:GED917542 GNZ917532:GNZ917542 GXV917532:GXV917542 HHR917532:HHR917542 HRN917532:HRN917542 IBJ917532:IBJ917542 ILF917532:ILF917542 IVB917532:IVB917542 JEX917532:JEX917542 JOT917532:JOT917542 JYP917532:JYP917542 KIL917532:KIL917542 KSH917532:KSH917542 LCD917532:LCD917542 LLZ917532:LLZ917542 LVV917532:LVV917542 MFR917532:MFR917542 MPN917532:MPN917542 MZJ917532:MZJ917542 NJF917532:NJF917542 NTB917532:NTB917542 OCX917532:OCX917542 OMT917532:OMT917542 OWP917532:OWP917542 PGL917532:PGL917542 PQH917532:PQH917542 QAD917532:QAD917542 QJZ917532:QJZ917542 QTV917532:QTV917542 RDR917532:RDR917542 RNN917532:RNN917542 RXJ917532:RXJ917542 SHF917532:SHF917542 SRB917532:SRB917542 TAX917532:TAX917542 TKT917532:TKT917542 TUP917532:TUP917542 UEL917532:UEL917542 UOH917532:UOH917542 UYD917532:UYD917542 VHZ917532:VHZ917542 VRV917532:VRV917542 WBR917532:WBR917542 WLN917532:WLN917542 WVJ917532:WVJ917542 B983068:B983078 IX983068:IX983078 ST983068:ST983078 ACP983068:ACP983078 AML983068:AML983078 AWH983068:AWH983078 BGD983068:BGD983078 BPZ983068:BPZ983078 BZV983068:BZV983078 CJR983068:CJR983078 CTN983068:CTN983078 DDJ983068:DDJ983078 DNF983068:DNF983078 DXB983068:DXB983078 EGX983068:EGX983078 EQT983068:EQT983078 FAP983068:FAP983078 FKL983068:FKL983078 FUH983068:FUH983078 GED983068:GED983078 GNZ983068:GNZ983078 GXV983068:GXV983078 HHR983068:HHR983078 HRN983068:HRN983078 IBJ983068:IBJ983078 ILF983068:ILF983078 IVB983068:IVB983078 JEX983068:JEX983078 JOT983068:JOT983078 JYP983068:JYP983078 KIL983068:KIL983078 KSH983068:KSH983078 LCD983068:LCD983078 LLZ983068:LLZ983078 LVV983068:LVV983078 MFR983068:MFR983078 MPN983068:MPN983078 MZJ983068:MZJ983078 NJF983068:NJF983078 NTB983068:NTB983078 OCX983068:OCX983078 OMT983068:OMT983078 OWP983068:OWP983078 PGL983068:PGL983078 PQH983068:PQH983078 QAD983068:QAD983078 QJZ983068:QJZ983078 QTV983068:QTV983078 RDR983068:RDR983078 RNN983068:RNN983078 RXJ983068:RXJ983078 SHF983068:SHF983078 SRB983068:SRB983078 TAX983068:TAX983078 TKT983068:TKT983078 TUP983068:TUP983078 UEL983068:UEL983078 UOH983068:UOH983078 UYD983068:UYD983078 VHZ983068:VHZ983078 VRV983068:VRV983078 WBR983068:WBR983078 WLN983068:WLN983078 WVJ983068:WVJ983078">
      <formula1>$R$61</formula1>
    </dataValidation>
    <dataValidation type="list" allowBlank="1" showInputMessage="1" showErrorMessage="1" sqref="D35 D45 D43 WVL983010 WLP983010 WBT983010 VRX983010 VIB983010 UYF983010 UOJ983010 UEN983010 TUR983010 TKV983010 TAZ983010 SRD983010 SHH983010 RXL983010 RNP983010 RDT983010 QTX983010 QKB983010 QAF983010 PQJ983010 PGN983010 OWR983010 OMV983010 OCZ983010 NTD983010 NJH983010 MZL983010 MPP983010 MFT983010 LVX983010 LMB983010 LCF983010 KSJ983010 KIN983010 JYR983010 JOV983010 JEZ983010 IVD983010 ILH983010 IBL983010 HRP983010 HHT983010 GXX983010 GOB983010 GEF983010 FUJ983010 FKN983010 FAR983010 EQV983010 EGZ983010 DXD983010 DNH983010 DDL983010 CTP983010 CJT983010 BZX983010 BQB983010 BGF983010 AWJ983010 AMN983010 ACR983010 SV983010 IZ983010 D983010 WVL917474 WLP917474 WBT917474 VRX917474 VIB917474 UYF917474 UOJ917474 UEN917474 TUR917474 TKV917474 TAZ917474 SRD917474 SHH917474 RXL917474 RNP917474 RDT917474 QTX917474 QKB917474 QAF917474 PQJ917474 PGN917474 OWR917474 OMV917474 OCZ917474 NTD917474 NJH917474 MZL917474 MPP917474 MFT917474 LVX917474 LMB917474 LCF917474 KSJ917474 KIN917474 JYR917474 JOV917474 JEZ917474 IVD917474 ILH917474 IBL917474 HRP917474 HHT917474 GXX917474 GOB917474 GEF917474 FUJ917474 FKN917474 FAR917474 EQV917474 EGZ917474 DXD917474 DNH917474 DDL917474 CTP917474 CJT917474 BZX917474 BQB917474 BGF917474 AWJ917474 AMN917474 ACR917474 SV917474 IZ917474 D917474 WVL851938 WLP851938 WBT851938 VRX851938 VIB851938 UYF851938 UOJ851938 UEN851938 TUR851938 TKV851938 TAZ851938 SRD851938 SHH851938 RXL851938 RNP851938 RDT851938 QTX851938 QKB851938 QAF851938 PQJ851938 PGN851938 OWR851938 OMV851938 OCZ851938 NTD851938 NJH851938 MZL851938 MPP851938 MFT851938 LVX851938 LMB851938 LCF851938 KSJ851938 KIN851938 JYR851938 JOV851938 JEZ851938 IVD851938 ILH851938 IBL851938 HRP851938 HHT851938 GXX851938 GOB851938 GEF851938 FUJ851938 FKN851938 FAR851938 EQV851938 EGZ851938 DXD851938 DNH851938 DDL851938 CTP851938 CJT851938 BZX851938 BQB851938 BGF851938 AWJ851938 AMN851938 ACR851938 SV851938 IZ851938 D851938 WVL786402 WLP786402 WBT786402 VRX786402 VIB786402 UYF786402 UOJ786402 UEN786402 TUR786402 TKV786402 TAZ786402 SRD786402 SHH786402 RXL786402 RNP786402 RDT786402 QTX786402 QKB786402 QAF786402 PQJ786402 PGN786402 OWR786402 OMV786402 OCZ786402 NTD786402 NJH786402 MZL786402 MPP786402 MFT786402 LVX786402 LMB786402 LCF786402 KSJ786402 KIN786402 JYR786402 JOV786402 JEZ786402 IVD786402 ILH786402 IBL786402 HRP786402 HHT786402 GXX786402 GOB786402 GEF786402 FUJ786402 FKN786402 FAR786402 EQV786402 EGZ786402 DXD786402 DNH786402 DDL786402 CTP786402 CJT786402 BZX786402 BQB786402 BGF786402 AWJ786402 AMN786402 ACR786402 SV786402 IZ786402 D786402 WVL720866 WLP720866 WBT720866 VRX720866 VIB720866 UYF720866 UOJ720866 UEN720866 TUR720866 TKV720866 TAZ720866 SRD720866 SHH720866 RXL720866 RNP720866 RDT720866 QTX720866 QKB720866 QAF720866 PQJ720866 PGN720866 OWR720866 OMV720866 OCZ720866 NTD720866 NJH720866 MZL720866 MPP720866 MFT720866 LVX720866 LMB720866 LCF720866 KSJ720866 KIN720866 JYR720866 JOV720866 JEZ720866 IVD720866 ILH720866 IBL720866 HRP720866 HHT720866 GXX720866 GOB720866 GEF720866 FUJ720866 FKN720866 FAR720866 EQV720866 EGZ720866 DXD720866 DNH720866 DDL720866 CTP720866 CJT720866 BZX720866 BQB720866 BGF720866 AWJ720866 AMN720866 ACR720866 SV720866 IZ720866 D720866 WVL655330 WLP655330 WBT655330 VRX655330 VIB655330 UYF655330 UOJ655330 UEN655330 TUR655330 TKV655330 TAZ655330 SRD655330 SHH655330 RXL655330 RNP655330 RDT655330 QTX655330 QKB655330 QAF655330 PQJ655330 PGN655330 OWR655330 OMV655330 OCZ655330 NTD655330 NJH655330 MZL655330 MPP655330 MFT655330 LVX655330 LMB655330 LCF655330 KSJ655330 KIN655330 JYR655330 JOV655330 JEZ655330 IVD655330 ILH655330 IBL655330 HRP655330 HHT655330 GXX655330 GOB655330 GEF655330 FUJ655330 FKN655330 FAR655330 EQV655330 EGZ655330 DXD655330 DNH655330 DDL655330 CTP655330 CJT655330 BZX655330 BQB655330 BGF655330 AWJ655330 AMN655330 ACR655330 SV655330 IZ655330 D655330 WVL589794 WLP589794 WBT589794 VRX589794 VIB589794 UYF589794 UOJ589794 UEN589794 TUR589794 TKV589794 TAZ589794 SRD589794 SHH589794 RXL589794 RNP589794 RDT589794 QTX589794 QKB589794 QAF589794 PQJ589794 PGN589794 OWR589794 OMV589794 OCZ589794 NTD589794 NJH589794 MZL589794 MPP589794 MFT589794 LVX589794 LMB589794 LCF589794 KSJ589794 KIN589794 JYR589794 JOV589794 JEZ589794 IVD589794 ILH589794 IBL589794 HRP589794 HHT589794 GXX589794 GOB589794 GEF589794 FUJ589794 FKN589794 FAR589794 EQV589794 EGZ589794 DXD589794 DNH589794 DDL589794 CTP589794 CJT589794 BZX589794 BQB589794 BGF589794 AWJ589794 AMN589794 ACR589794 SV589794 IZ589794 D589794 WVL524258 WLP524258 WBT524258 VRX524258 VIB524258 UYF524258 UOJ524258 UEN524258 TUR524258 TKV524258 TAZ524258 SRD524258 SHH524258 RXL524258 RNP524258 RDT524258 QTX524258 QKB524258 QAF524258 PQJ524258 PGN524258 OWR524258 OMV524258 OCZ524258 NTD524258 NJH524258 MZL524258 MPP524258 MFT524258 LVX524258 LMB524258 LCF524258 KSJ524258 KIN524258 JYR524258 JOV524258 JEZ524258 IVD524258 ILH524258 IBL524258 HRP524258 HHT524258 GXX524258 GOB524258 GEF524258 FUJ524258 FKN524258 FAR524258 EQV524258 EGZ524258 DXD524258 DNH524258 DDL524258 CTP524258 CJT524258 BZX524258 BQB524258 BGF524258 AWJ524258 AMN524258 ACR524258 SV524258 IZ524258 D524258 WVL458722 WLP458722 WBT458722 VRX458722 VIB458722 UYF458722 UOJ458722 UEN458722 TUR458722 TKV458722 TAZ458722 SRD458722 SHH458722 RXL458722 RNP458722 RDT458722 QTX458722 QKB458722 QAF458722 PQJ458722 PGN458722 OWR458722 OMV458722 OCZ458722 NTD458722 NJH458722 MZL458722 MPP458722 MFT458722 LVX458722 LMB458722 LCF458722 KSJ458722 KIN458722 JYR458722 JOV458722 JEZ458722 IVD458722 ILH458722 IBL458722 HRP458722 HHT458722 GXX458722 GOB458722 GEF458722 FUJ458722 FKN458722 FAR458722 EQV458722 EGZ458722 DXD458722 DNH458722 DDL458722 CTP458722 CJT458722 BZX458722 BQB458722 BGF458722 AWJ458722 AMN458722 ACR458722 SV458722 IZ458722 D458722 WVL393186 WLP393186 WBT393186 VRX393186 VIB393186 UYF393186 UOJ393186 UEN393186 TUR393186 TKV393186 TAZ393186 SRD393186 SHH393186 RXL393186 RNP393186 RDT393186 QTX393186 QKB393186 QAF393186 PQJ393186 PGN393186 OWR393186 OMV393186 OCZ393186 NTD393186 NJH393186 MZL393186 MPP393186 MFT393186 LVX393186 LMB393186 LCF393186 KSJ393186 KIN393186 JYR393186 JOV393186 JEZ393186 IVD393186 ILH393186 IBL393186 HRP393186 HHT393186 GXX393186 GOB393186 GEF393186 FUJ393186 FKN393186 FAR393186 EQV393186 EGZ393186 DXD393186 DNH393186 DDL393186 CTP393186 CJT393186 BZX393186 BQB393186 BGF393186 AWJ393186 AMN393186 ACR393186 SV393186 IZ393186 D393186 WVL327650 WLP327650 WBT327650 VRX327650 VIB327650 UYF327650 UOJ327650 UEN327650 TUR327650 TKV327650 TAZ327650 SRD327650 SHH327650 RXL327650 RNP327650 RDT327650 QTX327650 QKB327650 QAF327650 PQJ327650 PGN327650 OWR327650 OMV327650 OCZ327650 NTD327650 NJH327650 MZL327650 MPP327650 MFT327650 LVX327650 LMB327650 LCF327650 KSJ327650 KIN327650 JYR327650 JOV327650 JEZ327650 IVD327650 ILH327650 IBL327650 HRP327650 HHT327650 GXX327650 GOB327650 GEF327650 FUJ327650 FKN327650 FAR327650 EQV327650 EGZ327650 DXD327650 DNH327650 DDL327650 CTP327650 CJT327650 BZX327650 BQB327650 BGF327650 AWJ327650 AMN327650 ACR327650 SV327650 IZ327650 D327650 WVL262114 WLP262114 WBT262114 VRX262114 VIB262114 UYF262114 UOJ262114 UEN262114 TUR262114 TKV262114 TAZ262114 SRD262114 SHH262114 RXL262114 RNP262114 RDT262114 QTX262114 QKB262114 QAF262114 PQJ262114 PGN262114 OWR262114 OMV262114 OCZ262114 NTD262114 NJH262114 MZL262114 MPP262114 MFT262114 LVX262114 LMB262114 LCF262114 KSJ262114 KIN262114 JYR262114 JOV262114 JEZ262114 IVD262114 ILH262114 IBL262114 HRP262114 HHT262114 GXX262114 GOB262114 GEF262114 FUJ262114 FKN262114 FAR262114 EQV262114 EGZ262114 DXD262114 DNH262114 DDL262114 CTP262114 CJT262114 BZX262114 BQB262114 BGF262114 AWJ262114 AMN262114 ACR262114 SV262114 IZ262114 D262114 WVL196578 WLP196578 WBT196578 VRX196578 VIB196578 UYF196578 UOJ196578 UEN196578 TUR196578 TKV196578 TAZ196578 SRD196578 SHH196578 RXL196578 RNP196578 RDT196578 QTX196578 QKB196578 QAF196578 PQJ196578 PGN196578 OWR196578 OMV196578 OCZ196578 NTD196578 NJH196578 MZL196578 MPP196578 MFT196578 LVX196578 LMB196578 LCF196578 KSJ196578 KIN196578 JYR196578 JOV196578 JEZ196578 IVD196578 ILH196578 IBL196578 HRP196578 HHT196578 GXX196578 GOB196578 GEF196578 FUJ196578 FKN196578 FAR196578 EQV196578 EGZ196578 DXD196578 DNH196578 DDL196578 CTP196578 CJT196578 BZX196578 BQB196578 BGF196578 AWJ196578 AMN196578 ACR196578 SV196578 IZ196578 D196578 WVL131042 WLP131042 WBT131042 VRX131042 VIB131042 UYF131042 UOJ131042 UEN131042 TUR131042 TKV131042 TAZ131042 SRD131042 SHH131042 RXL131042 RNP131042 RDT131042 QTX131042 QKB131042 QAF131042 PQJ131042 PGN131042 OWR131042 OMV131042 OCZ131042 NTD131042 NJH131042 MZL131042 MPP131042 MFT131042 LVX131042 LMB131042 LCF131042 KSJ131042 KIN131042 JYR131042 JOV131042 JEZ131042 IVD131042 ILH131042 IBL131042 HRP131042 HHT131042 GXX131042 GOB131042 GEF131042 FUJ131042 FKN131042 FAR131042 EQV131042 EGZ131042 DXD131042 DNH131042 DDL131042 CTP131042 CJT131042 BZX131042 BQB131042 BGF131042 AWJ131042 AMN131042 ACR131042 SV131042 IZ131042 D131042 WVL65506 WLP65506 WBT65506 VRX65506 VIB65506 UYF65506 UOJ65506 UEN65506 TUR65506 TKV65506 TAZ65506 SRD65506 SHH65506 RXL65506 RNP65506 RDT65506 QTX65506 QKB65506 QAF65506 PQJ65506 PGN65506 OWR65506 OMV65506 OCZ65506 NTD65506 NJH65506 MZL65506 MPP65506 MFT65506 LVX65506 LMB65506 LCF65506 KSJ65506 KIN65506 JYR65506 JOV65506 JEZ65506 IVD65506 ILH65506 IBL65506 HRP65506 HHT65506 GXX65506 GOB65506 GEF65506 FUJ65506 FKN65506 FAR65506 EQV65506 EGZ65506 DXD65506 DNH65506 DDL65506 CTP65506 CJT65506 BZX65506 BQB65506 BGF65506 AWJ65506 AMN65506 ACR65506 SV65506 IZ65506 D65506 WVL37 WLP37 WBT37 VRX37 VIB37 UYF37 UOJ37 UEN37 TUR37 TKV37 TAZ37 SRD37 SHH37 RXL37 RNP37 RDT37 QTX37 QKB37 QAF37 PQJ37 PGN37 OWR37 OMV37 OCZ37 NTD37 NJH37 MZL37 MPP37 MFT37 LVX37 LMB37 LCF37 KSJ37 KIN37 JYR37 JOV37 JEZ37 IVD37 ILH37 IBL37 HRP37 HHT37 GXX37 GOB37 GEF37 FUJ37 FKN37 FAR37 EQV37 EGZ37 DXD37 DNH37 DDL37 CTP37 CJT37 BZX37 BQB37 BGF37 AWJ37 AMN37 ACR37 SV37 IZ37 D37 WVL983012 WLP983012 WBT983012 VRX983012 VIB983012 UYF983012 UOJ983012 UEN983012 TUR983012 TKV983012 TAZ983012 SRD983012 SHH983012 RXL983012 RNP983012 RDT983012 QTX983012 QKB983012 QAF983012 PQJ983012 PGN983012 OWR983012 OMV983012 OCZ983012 NTD983012 NJH983012 MZL983012 MPP983012 MFT983012 LVX983012 LMB983012 LCF983012 KSJ983012 KIN983012 JYR983012 JOV983012 JEZ983012 IVD983012 ILH983012 IBL983012 HRP983012 HHT983012 GXX983012 GOB983012 GEF983012 FUJ983012 FKN983012 FAR983012 EQV983012 EGZ983012 DXD983012 DNH983012 DDL983012 CTP983012 CJT983012 BZX983012 BQB983012 BGF983012 AWJ983012 AMN983012 ACR983012 SV983012 IZ983012 D983012 WVL917476 WLP917476 WBT917476 VRX917476 VIB917476 UYF917476 UOJ917476 UEN917476 TUR917476 TKV917476 TAZ917476 SRD917476 SHH917476 RXL917476 RNP917476 RDT917476 QTX917476 QKB917476 QAF917476 PQJ917476 PGN917476 OWR917476 OMV917476 OCZ917476 NTD917476 NJH917476 MZL917476 MPP917476 MFT917476 LVX917476 LMB917476 LCF917476 KSJ917476 KIN917476 JYR917476 JOV917476 JEZ917476 IVD917476 ILH917476 IBL917476 HRP917476 HHT917476 GXX917476 GOB917476 GEF917476 FUJ917476 FKN917476 FAR917476 EQV917476 EGZ917476 DXD917476 DNH917476 DDL917476 CTP917476 CJT917476 BZX917476 BQB917476 BGF917476 AWJ917476 AMN917476 ACR917476 SV917476 IZ917476 D917476 WVL851940 WLP851940 WBT851940 VRX851940 VIB851940 UYF851940 UOJ851940 UEN851940 TUR851940 TKV851940 TAZ851940 SRD851940 SHH851940 RXL851940 RNP851940 RDT851940 QTX851940 QKB851940 QAF851940 PQJ851940 PGN851940 OWR851940 OMV851940 OCZ851940 NTD851940 NJH851940 MZL851940 MPP851940 MFT851940 LVX851940 LMB851940 LCF851940 KSJ851940 KIN851940 JYR851940 JOV851940 JEZ851940 IVD851940 ILH851940 IBL851940 HRP851940 HHT851940 GXX851940 GOB851940 GEF851940 FUJ851940 FKN851940 FAR851940 EQV851940 EGZ851940 DXD851940 DNH851940 DDL851940 CTP851940 CJT851940 BZX851940 BQB851940 BGF851940 AWJ851940 AMN851940 ACR851940 SV851940 IZ851940 D851940 WVL786404 WLP786404 WBT786404 VRX786404 VIB786404 UYF786404 UOJ786404 UEN786404 TUR786404 TKV786404 TAZ786404 SRD786404 SHH786404 RXL786404 RNP786404 RDT786404 QTX786404 QKB786404 QAF786404 PQJ786404 PGN786404 OWR786404 OMV786404 OCZ786404 NTD786404 NJH786404 MZL786404 MPP786404 MFT786404 LVX786404 LMB786404 LCF786404 KSJ786404 KIN786404 JYR786404 JOV786404 JEZ786404 IVD786404 ILH786404 IBL786404 HRP786404 HHT786404 GXX786404 GOB786404 GEF786404 FUJ786404 FKN786404 FAR786404 EQV786404 EGZ786404 DXD786404 DNH786404 DDL786404 CTP786404 CJT786404 BZX786404 BQB786404 BGF786404 AWJ786404 AMN786404 ACR786404 SV786404 IZ786404 D786404 WVL720868 WLP720868 WBT720868 VRX720868 VIB720868 UYF720868 UOJ720868 UEN720868 TUR720868 TKV720868 TAZ720868 SRD720868 SHH720868 RXL720868 RNP720868 RDT720868 QTX720868 QKB720868 QAF720868 PQJ720868 PGN720868 OWR720868 OMV720868 OCZ720868 NTD720868 NJH720868 MZL720868 MPP720868 MFT720868 LVX720868 LMB720868 LCF720868 KSJ720868 KIN720868 JYR720868 JOV720868 JEZ720868 IVD720868 ILH720868 IBL720868 HRP720868 HHT720868 GXX720868 GOB720868 GEF720868 FUJ720868 FKN720868 FAR720868 EQV720868 EGZ720868 DXD720868 DNH720868 DDL720868 CTP720868 CJT720868 BZX720868 BQB720868 BGF720868 AWJ720868 AMN720868 ACR720868 SV720868 IZ720868 D720868 WVL655332 WLP655332 WBT655332 VRX655332 VIB655332 UYF655332 UOJ655332 UEN655332 TUR655332 TKV655332 TAZ655332 SRD655332 SHH655332 RXL655332 RNP655332 RDT655332 QTX655332 QKB655332 QAF655332 PQJ655332 PGN655332 OWR655332 OMV655332 OCZ655332 NTD655332 NJH655332 MZL655332 MPP655332 MFT655332 LVX655332 LMB655332 LCF655332 KSJ655332 KIN655332 JYR655332 JOV655332 JEZ655332 IVD655332 ILH655332 IBL655332 HRP655332 HHT655332 GXX655332 GOB655332 GEF655332 FUJ655332 FKN655332 FAR655332 EQV655332 EGZ655332 DXD655332 DNH655332 DDL655332 CTP655332 CJT655332 BZX655332 BQB655332 BGF655332 AWJ655332 AMN655332 ACR655332 SV655332 IZ655332 D655332 WVL589796 WLP589796 WBT589796 VRX589796 VIB589796 UYF589796 UOJ589796 UEN589796 TUR589796 TKV589796 TAZ589796 SRD589796 SHH589796 RXL589796 RNP589796 RDT589796 QTX589796 QKB589796 QAF589796 PQJ589796 PGN589796 OWR589796 OMV589796 OCZ589796 NTD589796 NJH589796 MZL589796 MPP589796 MFT589796 LVX589796 LMB589796 LCF589796 KSJ589796 KIN589796 JYR589796 JOV589796 JEZ589796 IVD589796 ILH589796 IBL589796 HRP589796 HHT589796 GXX589796 GOB589796 GEF589796 FUJ589796 FKN589796 FAR589796 EQV589796 EGZ589796 DXD589796 DNH589796 DDL589796 CTP589796 CJT589796 BZX589796 BQB589796 BGF589796 AWJ589796 AMN589796 ACR589796 SV589796 IZ589796 D589796 WVL524260 WLP524260 WBT524260 VRX524260 VIB524260 UYF524260 UOJ524260 UEN524260 TUR524260 TKV524260 TAZ524260 SRD524260 SHH524260 RXL524260 RNP524260 RDT524260 QTX524260 QKB524260 QAF524260 PQJ524260 PGN524260 OWR524260 OMV524260 OCZ524260 NTD524260 NJH524260 MZL524260 MPP524260 MFT524260 LVX524260 LMB524260 LCF524260 KSJ524260 KIN524260 JYR524260 JOV524260 JEZ524260 IVD524260 ILH524260 IBL524260 HRP524260 HHT524260 GXX524260 GOB524260 GEF524260 FUJ524260 FKN524260 FAR524260 EQV524260 EGZ524260 DXD524260 DNH524260 DDL524260 CTP524260 CJT524260 BZX524260 BQB524260 BGF524260 AWJ524260 AMN524260 ACR524260 SV524260 IZ524260 D524260 WVL458724 WLP458724 WBT458724 VRX458724 VIB458724 UYF458724 UOJ458724 UEN458724 TUR458724 TKV458724 TAZ458724 SRD458724 SHH458724 RXL458724 RNP458724 RDT458724 QTX458724 QKB458724 QAF458724 PQJ458724 PGN458724 OWR458724 OMV458724 OCZ458724 NTD458724 NJH458724 MZL458724 MPP458724 MFT458724 LVX458724 LMB458724 LCF458724 KSJ458724 KIN458724 JYR458724 JOV458724 JEZ458724 IVD458724 ILH458724 IBL458724 HRP458724 HHT458724 GXX458724 GOB458724 GEF458724 FUJ458724 FKN458724 FAR458724 EQV458724 EGZ458724 DXD458724 DNH458724 DDL458724 CTP458724 CJT458724 BZX458724 BQB458724 BGF458724 AWJ458724 AMN458724 ACR458724 SV458724 IZ458724 D458724 WVL393188 WLP393188 WBT393188 VRX393188 VIB393188 UYF393188 UOJ393188 UEN393188 TUR393188 TKV393188 TAZ393188 SRD393188 SHH393188 RXL393188 RNP393188 RDT393188 QTX393188 QKB393188 QAF393188 PQJ393188 PGN393188 OWR393188 OMV393188 OCZ393188 NTD393188 NJH393188 MZL393188 MPP393188 MFT393188 LVX393188 LMB393188 LCF393188 KSJ393188 KIN393188 JYR393188 JOV393188 JEZ393188 IVD393188 ILH393188 IBL393188 HRP393188 HHT393188 GXX393188 GOB393188 GEF393188 FUJ393188 FKN393188 FAR393188 EQV393188 EGZ393188 DXD393188 DNH393188 DDL393188 CTP393188 CJT393188 BZX393188 BQB393188 BGF393188 AWJ393188 AMN393188 ACR393188 SV393188 IZ393188 D393188 WVL327652 WLP327652 WBT327652 VRX327652 VIB327652 UYF327652 UOJ327652 UEN327652 TUR327652 TKV327652 TAZ327652 SRD327652 SHH327652 RXL327652 RNP327652 RDT327652 QTX327652 QKB327652 QAF327652 PQJ327652 PGN327652 OWR327652 OMV327652 OCZ327652 NTD327652 NJH327652 MZL327652 MPP327652 MFT327652 LVX327652 LMB327652 LCF327652 KSJ327652 KIN327652 JYR327652 JOV327652 JEZ327652 IVD327652 ILH327652 IBL327652 HRP327652 HHT327652 GXX327652 GOB327652 GEF327652 FUJ327652 FKN327652 FAR327652 EQV327652 EGZ327652 DXD327652 DNH327652 DDL327652 CTP327652 CJT327652 BZX327652 BQB327652 BGF327652 AWJ327652 AMN327652 ACR327652 SV327652 IZ327652 D327652 WVL262116 WLP262116 WBT262116 VRX262116 VIB262116 UYF262116 UOJ262116 UEN262116 TUR262116 TKV262116 TAZ262116 SRD262116 SHH262116 RXL262116 RNP262116 RDT262116 QTX262116 QKB262116 QAF262116 PQJ262116 PGN262116 OWR262116 OMV262116 OCZ262116 NTD262116 NJH262116 MZL262116 MPP262116 MFT262116 LVX262116 LMB262116 LCF262116 KSJ262116 KIN262116 JYR262116 JOV262116 JEZ262116 IVD262116 ILH262116 IBL262116 HRP262116 HHT262116 GXX262116 GOB262116 GEF262116 FUJ262116 FKN262116 FAR262116 EQV262116 EGZ262116 DXD262116 DNH262116 DDL262116 CTP262116 CJT262116 BZX262116 BQB262116 BGF262116 AWJ262116 AMN262116 ACR262116 SV262116 IZ262116 D262116 WVL196580 WLP196580 WBT196580 VRX196580 VIB196580 UYF196580 UOJ196580 UEN196580 TUR196580 TKV196580 TAZ196580 SRD196580 SHH196580 RXL196580 RNP196580 RDT196580 QTX196580 QKB196580 QAF196580 PQJ196580 PGN196580 OWR196580 OMV196580 OCZ196580 NTD196580 NJH196580 MZL196580 MPP196580 MFT196580 LVX196580 LMB196580 LCF196580 KSJ196580 KIN196580 JYR196580 JOV196580 JEZ196580 IVD196580 ILH196580 IBL196580 HRP196580 HHT196580 GXX196580 GOB196580 GEF196580 FUJ196580 FKN196580 FAR196580 EQV196580 EGZ196580 DXD196580 DNH196580 DDL196580 CTP196580 CJT196580 BZX196580 BQB196580 BGF196580 AWJ196580 AMN196580 ACR196580 SV196580 IZ196580 D196580 WVL131044 WLP131044 WBT131044 VRX131044 VIB131044 UYF131044 UOJ131044 UEN131044 TUR131044 TKV131044 TAZ131044 SRD131044 SHH131044 RXL131044 RNP131044 RDT131044 QTX131044 QKB131044 QAF131044 PQJ131044 PGN131044 OWR131044 OMV131044 OCZ131044 NTD131044 NJH131044 MZL131044 MPP131044 MFT131044 LVX131044 LMB131044 LCF131044 KSJ131044 KIN131044 JYR131044 JOV131044 JEZ131044 IVD131044 ILH131044 IBL131044 HRP131044 HHT131044 GXX131044 GOB131044 GEF131044 FUJ131044 FKN131044 FAR131044 EQV131044 EGZ131044 DXD131044 DNH131044 DDL131044 CTP131044 CJT131044 BZX131044 BQB131044 BGF131044 AWJ131044 AMN131044 ACR131044 SV131044 IZ131044 D131044 WVL65508 WLP65508 WBT65508 VRX65508 VIB65508 UYF65508 UOJ65508 UEN65508 TUR65508 TKV65508 TAZ65508 SRD65508 SHH65508 RXL65508 RNP65508 RDT65508 QTX65508 QKB65508 QAF65508 PQJ65508 PGN65508 OWR65508 OMV65508 OCZ65508 NTD65508 NJH65508 MZL65508 MPP65508 MFT65508 LVX65508 LMB65508 LCF65508 KSJ65508 KIN65508 JYR65508 JOV65508 JEZ65508 IVD65508 ILH65508 IBL65508 HRP65508 HHT65508 GXX65508 GOB65508 GEF65508 FUJ65508 FKN65508 FAR65508 EQV65508 EGZ65508 DXD65508 DNH65508 DDL65508 CTP65508 CJT65508 BZX65508 BQB65508 BGF65508 AWJ65508 AMN65508 ACR65508 SV65508 IZ65508 D65508 WVL39 WLP39 WBT39 VRX39 VIB39 UYF39 UOJ39 UEN39 TUR39 TKV39 TAZ39 SRD39 SHH39 RXL39 RNP39 RDT39 QTX39 QKB39 QAF39 PQJ39 PGN39 OWR39 OMV39 OCZ39 NTD39 NJH39 MZL39 MPP39 MFT39 LVX39 LMB39 LCF39 KSJ39 KIN39 JYR39 JOV39 JEZ39 IVD39 ILH39 IBL39 HRP39 HHT39 GXX39 GOB39 GEF39 FUJ39 FKN39 FAR39 EQV39 EGZ39 DXD39 DNH39 DDL39 CTP39 CJT39 BZX39 BQB39 BGF39 AWJ39 AMN39 ACR39 SV39 IZ39 D39 WVL983014 WLP983014 WBT983014 VRX983014 VIB983014 UYF983014 UOJ983014 UEN983014 TUR983014 TKV983014 TAZ983014 SRD983014 SHH983014 RXL983014 RNP983014 RDT983014 QTX983014 QKB983014 QAF983014 PQJ983014 PGN983014 OWR983014 OMV983014 OCZ983014 NTD983014 NJH983014 MZL983014 MPP983014 MFT983014 LVX983014 LMB983014 LCF983014 KSJ983014 KIN983014 JYR983014 JOV983014 JEZ983014 IVD983014 ILH983014 IBL983014 HRP983014 HHT983014 GXX983014 GOB983014 GEF983014 FUJ983014 FKN983014 FAR983014 EQV983014 EGZ983014 DXD983014 DNH983014 DDL983014 CTP983014 CJT983014 BZX983014 BQB983014 BGF983014 AWJ983014 AMN983014 ACR983014 SV983014 IZ983014 D983014 WVL917478 WLP917478 WBT917478 VRX917478 VIB917478 UYF917478 UOJ917478 UEN917478 TUR917478 TKV917478 TAZ917478 SRD917478 SHH917478 RXL917478 RNP917478 RDT917478 QTX917478 QKB917478 QAF917478 PQJ917478 PGN917478 OWR917478 OMV917478 OCZ917478 NTD917478 NJH917478 MZL917478 MPP917478 MFT917478 LVX917478 LMB917478 LCF917478 KSJ917478 KIN917478 JYR917478 JOV917478 JEZ917478 IVD917478 ILH917478 IBL917478 HRP917478 HHT917478 GXX917478 GOB917478 GEF917478 FUJ917478 FKN917478 FAR917478 EQV917478 EGZ917478 DXD917478 DNH917478 DDL917478 CTP917478 CJT917478 BZX917478 BQB917478 BGF917478 AWJ917478 AMN917478 ACR917478 SV917478 IZ917478 D917478 WVL851942 WLP851942 WBT851942 VRX851942 VIB851942 UYF851942 UOJ851942 UEN851942 TUR851942 TKV851942 TAZ851942 SRD851942 SHH851942 RXL851942 RNP851942 RDT851942 QTX851942 QKB851942 QAF851942 PQJ851942 PGN851942 OWR851942 OMV851942 OCZ851942 NTD851942 NJH851942 MZL851942 MPP851942 MFT851942 LVX851942 LMB851942 LCF851942 KSJ851942 KIN851942 JYR851942 JOV851942 JEZ851942 IVD851942 ILH851942 IBL851942 HRP851942 HHT851942 GXX851942 GOB851942 GEF851942 FUJ851942 FKN851942 FAR851942 EQV851942 EGZ851942 DXD851942 DNH851942 DDL851942 CTP851942 CJT851942 BZX851942 BQB851942 BGF851942 AWJ851942 AMN851942 ACR851942 SV851942 IZ851942 D851942 WVL786406 WLP786406 WBT786406 VRX786406 VIB786406 UYF786406 UOJ786406 UEN786406 TUR786406 TKV786406 TAZ786406 SRD786406 SHH786406 RXL786406 RNP786406 RDT786406 QTX786406 QKB786406 QAF786406 PQJ786406 PGN786406 OWR786406 OMV786406 OCZ786406 NTD786406 NJH786406 MZL786406 MPP786406 MFT786406 LVX786406 LMB786406 LCF786406 KSJ786406 KIN786406 JYR786406 JOV786406 JEZ786406 IVD786406 ILH786406 IBL786406 HRP786406 HHT786406 GXX786406 GOB786406 GEF786406 FUJ786406 FKN786406 FAR786406 EQV786406 EGZ786406 DXD786406 DNH786406 DDL786406 CTP786406 CJT786406 BZX786406 BQB786406 BGF786406 AWJ786406 AMN786406 ACR786406 SV786406 IZ786406 D786406 WVL720870 WLP720870 WBT720870 VRX720870 VIB720870 UYF720870 UOJ720870 UEN720870 TUR720870 TKV720870 TAZ720870 SRD720870 SHH720870 RXL720870 RNP720870 RDT720870 QTX720870 QKB720870 QAF720870 PQJ720870 PGN720870 OWR720870 OMV720870 OCZ720870 NTD720870 NJH720870 MZL720870 MPP720870 MFT720870 LVX720870 LMB720870 LCF720870 KSJ720870 KIN720870 JYR720870 JOV720870 JEZ720870 IVD720870 ILH720870 IBL720870 HRP720870 HHT720870 GXX720870 GOB720870 GEF720870 FUJ720870 FKN720870 FAR720870 EQV720870 EGZ720870 DXD720870 DNH720870 DDL720870 CTP720870 CJT720870 BZX720870 BQB720870 BGF720870 AWJ720870 AMN720870 ACR720870 SV720870 IZ720870 D720870 WVL655334 WLP655334 WBT655334 VRX655334 VIB655334 UYF655334 UOJ655334 UEN655334 TUR655334 TKV655334 TAZ655334 SRD655334 SHH655334 RXL655334 RNP655334 RDT655334 QTX655334 QKB655334 QAF655334 PQJ655334 PGN655334 OWR655334 OMV655334 OCZ655334 NTD655334 NJH655334 MZL655334 MPP655334 MFT655334 LVX655334 LMB655334 LCF655334 KSJ655334 KIN655334 JYR655334 JOV655334 JEZ655334 IVD655334 ILH655334 IBL655334 HRP655334 HHT655334 GXX655334 GOB655334 GEF655334 FUJ655334 FKN655334 FAR655334 EQV655334 EGZ655334 DXD655334 DNH655334 DDL655334 CTP655334 CJT655334 BZX655334 BQB655334 BGF655334 AWJ655334 AMN655334 ACR655334 SV655334 IZ655334 D655334 WVL589798 WLP589798 WBT589798 VRX589798 VIB589798 UYF589798 UOJ589798 UEN589798 TUR589798 TKV589798 TAZ589798 SRD589798 SHH589798 RXL589798 RNP589798 RDT589798 QTX589798 QKB589798 QAF589798 PQJ589798 PGN589798 OWR589798 OMV589798 OCZ589798 NTD589798 NJH589798 MZL589798 MPP589798 MFT589798 LVX589798 LMB589798 LCF589798 KSJ589798 KIN589798 JYR589798 JOV589798 JEZ589798 IVD589798 ILH589798 IBL589798 HRP589798 HHT589798 GXX589798 GOB589798 GEF589798 FUJ589798 FKN589798 FAR589798 EQV589798 EGZ589798 DXD589798 DNH589798 DDL589798 CTP589798 CJT589798 BZX589798 BQB589798 BGF589798 AWJ589798 AMN589798 ACR589798 SV589798 IZ589798 D589798 WVL524262 WLP524262 WBT524262 VRX524262 VIB524262 UYF524262 UOJ524262 UEN524262 TUR524262 TKV524262 TAZ524262 SRD524262 SHH524262 RXL524262 RNP524262 RDT524262 QTX524262 QKB524262 QAF524262 PQJ524262 PGN524262 OWR524262 OMV524262 OCZ524262 NTD524262 NJH524262 MZL524262 MPP524262 MFT524262 LVX524262 LMB524262 LCF524262 KSJ524262 KIN524262 JYR524262 JOV524262 JEZ524262 IVD524262 ILH524262 IBL524262 HRP524262 HHT524262 GXX524262 GOB524262 GEF524262 FUJ524262 FKN524262 FAR524262 EQV524262 EGZ524262 DXD524262 DNH524262 DDL524262 CTP524262 CJT524262 BZX524262 BQB524262 BGF524262 AWJ524262 AMN524262 ACR524262 SV524262 IZ524262 D524262 WVL458726 WLP458726 WBT458726 VRX458726 VIB458726 UYF458726 UOJ458726 UEN458726 TUR458726 TKV458726 TAZ458726 SRD458726 SHH458726 RXL458726 RNP458726 RDT458726 QTX458726 QKB458726 QAF458726 PQJ458726 PGN458726 OWR458726 OMV458726 OCZ458726 NTD458726 NJH458726 MZL458726 MPP458726 MFT458726 LVX458726 LMB458726 LCF458726 KSJ458726 KIN458726 JYR458726 JOV458726 JEZ458726 IVD458726 ILH458726 IBL458726 HRP458726 HHT458726 GXX458726 GOB458726 GEF458726 FUJ458726 FKN458726 FAR458726 EQV458726 EGZ458726 DXD458726 DNH458726 DDL458726 CTP458726 CJT458726 BZX458726 BQB458726 BGF458726 AWJ458726 AMN458726 ACR458726 SV458726 IZ458726 D458726 WVL393190 WLP393190 WBT393190 VRX393190 VIB393190 UYF393190 UOJ393190 UEN393190 TUR393190 TKV393190 TAZ393190 SRD393190 SHH393190 RXL393190 RNP393190 RDT393190 QTX393190 QKB393190 QAF393190 PQJ393190 PGN393190 OWR393190 OMV393190 OCZ393190 NTD393190 NJH393190 MZL393190 MPP393190 MFT393190 LVX393190 LMB393190 LCF393190 KSJ393190 KIN393190 JYR393190 JOV393190 JEZ393190 IVD393190 ILH393190 IBL393190 HRP393190 HHT393190 GXX393190 GOB393190 GEF393190 FUJ393190 FKN393190 FAR393190 EQV393190 EGZ393190 DXD393190 DNH393190 DDL393190 CTP393190 CJT393190 BZX393190 BQB393190 BGF393190 AWJ393190 AMN393190 ACR393190 SV393190 IZ393190 D393190 WVL327654 WLP327654 WBT327654 VRX327654 VIB327654 UYF327654 UOJ327654 UEN327654 TUR327654 TKV327654 TAZ327654 SRD327654 SHH327654 RXL327654 RNP327654 RDT327654 QTX327654 QKB327654 QAF327654 PQJ327654 PGN327654 OWR327654 OMV327654 OCZ327654 NTD327654 NJH327654 MZL327654 MPP327654 MFT327654 LVX327654 LMB327654 LCF327654 KSJ327654 KIN327654 JYR327654 JOV327654 JEZ327654 IVD327654 ILH327654 IBL327654 HRP327654 HHT327654 GXX327654 GOB327654 GEF327654 FUJ327654 FKN327654 FAR327654 EQV327654 EGZ327654 DXD327654 DNH327654 DDL327654 CTP327654 CJT327654 BZX327654 BQB327654 BGF327654 AWJ327654 AMN327654 ACR327654 SV327654 IZ327654 D327654 WVL262118 WLP262118 WBT262118 VRX262118 VIB262118 UYF262118 UOJ262118 UEN262118 TUR262118 TKV262118 TAZ262118 SRD262118 SHH262118 RXL262118 RNP262118 RDT262118 QTX262118 QKB262118 QAF262118 PQJ262118 PGN262118 OWR262118 OMV262118 OCZ262118 NTD262118 NJH262118 MZL262118 MPP262118 MFT262118 LVX262118 LMB262118 LCF262118 KSJ262118 KIN262118 JYR262118 JOV262118 JEZ262118 IVD262118 ILH262118 IBL262118 HRP262118 HHT262118 GXX262118 GOB262118 GEF262118 FUJ262118 FKN262118 FAR262118 EQV262118 EGZ262118 DXD262118 DNH262118 DDL262118 CTP262118 CJT262118 BZX262118 BQB262118 BGF262118 AWJ262118 AMN262118 ACR262118 SV262118 IZ262118 D262118 WVL196582 WLP196582 WBT196582 VRX196582 VIB196582 UYF196582 UOJ196582 UEN196582 TUR196582 TKV196582 TAZ196582 SRD196582 SHH196582 RXL196582 RNP196582 RDT196582 QTX196582 QKB196582 QAF196582 PQJ196582 PGN196582 OWR196582 OMV196582 OCZ196582 NTD196582 NJH196582 MZL196582 MPP196582 MFT196582 LVX196582 LMB196582 LCF196582 KSJ196582 KIN196582 JYR196582 JOV196582 JEZ196582 IVD196582 ILH196582 IBL196582 HRP196582 HHT196582 GXX196582 GOB196582 GEF196582 FUJ196582 FKN196582 FAR196582 EQV196582 EGZ196582 DXD196582 DNH196582 DDL196582 CTP196582 CJT196582 BZX196582 BQB196582 BGF196582 AWJ196582 AMN196582 ACR196582 SV196582 IZ196582 D196582 WVL131046 WLP131046 WBT131046 VRX131046 VIB131046 UYF131046 UOJ131046 UEN131046 TUR131046 TKV131046 TAZ131046 SRD131046 SHH131046 RXL131046 RNP131046 RDT131046 QTX131046 QKB131046 QAF131046 PQJ131046 PGN131046 OWR131046 OMV131046 OCZ131046 NTD131046 NJH131046 MZL131046 MPP131046 MFT131046 LVX131046 LMB131046 LCF131046 KSJ131046 KIN131046 JYR131046 JOV131046 JEZ131046 IVD131046 ILH131046 IBL131046 HRP131046 HHT131046 GXX131046 GOB131046 GEF131046 FUJ131046 FKN131046 FAR131046 EQV131046 EGZ131046 DXD131046 DNH131046 DDL131046 CTP131046 CJT131046 BZX131046 BQB131046 BGF131046 AWJ131046 AMN131046 ACR131046 SV131046 IZ131046 D131046 WVL65510 WLP65510 WBT65510 VRX65510 VIB65510 UYF65510 UOJ65510 UEN65510 TUR65510 TKV65510 TAZ65510 SRD65510 SHH65510 RXL65510 RNP65510 RDT65510 QTX65510 QKB65510 QAF65510 PQJ65510 PGN65510 OWR65510 OMV65510 OCZ65510 NTD65510 NJH65510 MZL65510 MPP65510 MFT65510 LVX65510 LMB65510 LCF65510 KSJ65510 KIN65510 JYR65510 JOV65510 JEZ65510 IVD65510 ILH65510 IBL65510 HRP65510 HHT65510 GXX65510 GOB65510 GEF65510 FUJ65510 FKN65510 FAR65510 EQV65510 EGZ65510 DXD65510 DNH65510 DDL65510 CTP65510 CJT65510 BZX65510 BQB65510 BGF65510 AWJ65510 AMN65510 ACR65510 SV65510 IZ65510 D65510 WVL41 WLP41 WBT41 VRX41 VIB41 UYF41 UOJ41 UEN41 TUR41 TKV41 TAZ41 SRD41 SHH41 RXL41 RNP41 RDT41 QTX41 QKB41 QAF41 PQJ41 PGN41 OWR41 OMV41 OCZ41 NTD41 NJH41 MZL41 MPP41 MFT41 LVX41 LMB41 LCF41 KSJ41 KIN41 JYR41 JOV41 JEZ41 IVD41 ILH41 IBL41 HRP41 HHT41 GXX41 GOB41 GEF41 FUJ41 FKN41 FAR41 EQV41 EGZ41 DXD41 DNH41 DDL41 CTP41 CJT41 BZX41 BQB41 BGF41 AWJ41 AMN41 ACR41 SV41 IZ41 D41 WVL983008 WLP983008 WBT983008 VRX983008 VIB983008 UYF983008 UOJ983008 UEN983008 TUR983008 TKV983008 TAZ983008 SRD983008 SHH983008 RXL983008 RNP983008 RDT983008 QTX983008 QKB983008 QAF983008 PQJ983008 PGN983008 OWR983008 OMV983008 OCZ983008 NTD983008 NJH983008 MZL983008 MPP983008 MFT983008 LVX983008 LMB983008 LCF983008 KSJ983008 KIN983008 JYR983008 JOV983008 JEZ983008 IVD983008 ILH983008 IBL983008 HRP983008 HHT983008 GXX983008 GOB983008 GEF983008 FUJ983008 FKN983008 FAR983008 EQV983008 EGZ983008 DXD983008 DNH983008 DDL983008 CTP983008 CJT983008 BZX983008 BQB983008 BGF983008 AWJ983008 AMN983008 ACR983008 SV983008 IZ983008 D983008 WVL917472 WLP917472 WBT917472 VRX917472 VIB917472 UYF917472 UOJ917472 UEN917472 TUR917472 TKV917472 TAZ917472 SRD917472 SHH917472 RXL917472 RNP917472 RDT917472 QTX917472 QKB917472 QAF917472 PQJ917472 PGN917472 OWR917472 OMV917472 OCZ917472 NTD917472 NJH917472 MZL917472 MPP917472 MFT917472 LVX917472 LMB917472 LCF917472 KSJ917472 KIN917472 JYR917472 JOV917472 JEZ917472 IVD917472 ILH917472 IBL917472 HRP917472 HHT917472 GXX917472 GOB917472 GEF917472 FUJ917472 FKN917472 FAR917472 EQV917472 EGZ917472 DXD917472 DNH917472 DDL917472 CTP917472 CJT917472 BZX917472 BQB917472 BGF917472 AWJ917472 AMN917472 ACR917472 SV917472 IZ917472 D917472 WVL851936 WLP851936 WBT851936 VRX851936 VIB851936 UYF851936 UOJ851936 UEN851936 TUR851936 TKV851936 TAZ851936 SRD851936 SHH851936 RXL851936 RNP851936 RDT851936 QTX851936 QKB851936 QAF851936 PQJ851936 PGN851936 OWR851936 OMV851936 OCZ851936 NTD851936 NJH851936 MZL851936 MPP851936 MFT851936 LVX851936 LMB851936 LCF851936 KSJ851936 KIN851936 JYR851936 JOV851936 JEZ851936 IVD851936 ILH851936 IBL851936 HRP851936 HHT851936 GXX851936 GOB851936 GEF851936 FUJ851936 FKN851936 FAR851936 EQV851936 EGZ851936 DXD851936 DNH851936 DDL851936 CTP851936 CJT851936 BZX851936 BQB851936 BGF851936 AWJ851936 AMN851936 ACR851936 SV851936 IZ851936 D851936 WVL786400 WLP786400 WBT786400 VRX786400 VIB786400 UYF786400 UOJ786400 UEN786400 TUR786400 TKV786400 TAZ786400 SRD786400 SHH786400 RXL786400 RNP786400 RDT786400 QTX786400 QKB786400 QAF786400 PQJ786400 PGN786400 OWR786400 OMV786400 OCZ786400 NTD786400 NJH786400 MZL786400 MPP786400 MFT786400 LVX786400 LMB786400 LCF786400 KSJ786400 KIN786400 JYR786400 JOV786400 JEZ786400 IVD786400 ILH786400 IBL786400 HRP786400 HHT786400 GXX786400 GOB786400 GEF786400 FUJ786400 FKN786400 FAR786400 EQV786400 EGZ786400 DXD786400 DNH786400 DDL786400 CTP786400 CJT786400 BZX786400 BQB786400 BGF786400 AWJ786400 AMN786400 ACR786400 SV786400 IZ786400 D786400 WVL720864 WLP720864 WBT720864 VRX720864 VIB720864 UYF720864 UOJ720864 UEN720864 TUR720864 TKV720864 TAZ720864 SRD720864 SHH720864 RXL720864 RNP720864 RDT720864 QTX720864 QKB720864 QAF720864 PQJ720864 PGN720864 OWR720864 OMV720864 OCZ720864 NTD720864 NJH720864 MZL720864 MPP720864 MFT720864 LVX720864 LMB720864 LCF720864 KSJ720864 KIN720864 JYR720864 JOV720864 JEZ720864 IVD720864 ILH720864 IBL720864 HRP720864 HHT720864 GXX720864 GOB720864 GEF720864 FUJ720864 FKN720864 FAR720864 EQV720864 EGZ720864 DXD720864 DNH720864 DDL720864 CTP720864 CJT720864 BZX720864 BQB720864 BGF720864 AWJ720864 AMN720864 ACR720864 SV720864 IZ720864 D720864 WVL655328 WLP655328 WBT655328 VRX655328 VIB655328 UYF655328 UOJ655328 UEN655328 TUR655328 TKV655328 TAZ655328 SRD655328 SHH655328 RXL655328 RNP655328 RDT655328 QTX655328 QKB655328 QAF655328 PQJ655328 PGN655328 OWR655328 OMV655328 OCZ655328 NTD655328 NJH655328 MZL655328 MPP655328 MFT655328 LVX655328 LMB655328 LCF655328 KSJ655328 KIN655328 JYR655328 JOV655328 JEZ655328 IVD655328 ILH655328 IBL655328 HRP655328 HHT655328 GXX655328 GOB655328 GEF655328 FUJ655328 FKN655328 FAR655328 EQV655328 EGZ655328 DXD655328 DNH655328 DDL655328 CTP655328 CJT655328 BZX655328 BQB655328 BGF655328 AWJ655328 AMN655328 ACR655328 SV655328 IZ655328 D655328 WVL589792 WLP589792 WBT589792 VRX589792 VIB589792 UYF589792 UOJ589792 UEN589792 TUR589792 TKV589792 TAZ589792 SRD589792 SHH589792 RXL589792 RNP589792 RDT589792 QTX589792 QKB589792 QAF589792 PQJ589792 PGN589792 OWR589792 OMV589792 OCZ589792 NTD589792 NJH589792 MZL589792 MPP589792 MFT589792 LVX589792 LMB589792 LCF589792 KSJ589792 KIN589792 JYR589792 JOV589792 JEZ589792 IVD589792 ILH589792 IBL589792 HRP589792 HHT589792 GXX589792 GOB589792 GEF589792 FUJ589792 FKN589792 FAR589792 EQV589792 EGZ589792 DXD589792 DNH589792 DDL589792 CTP589792 CJT589792 BZX589792 BQB589792 BGF589792 AWJ589792 AMN589792 ACR589792 SV589792 IZ589792 D589792 WVL524256 WLP524256 WBT524256 VRX524256 VIB524256 UYF524256 UOJ524256 UEN524256 TUR524256 TKV524256 TAZ524256 SRD524256 SHH524256 RXL524256 RNP524256 RDT524256 QTX524256 QKB524256 QAF524256 PQJ524256 PGN524256 OWR524256 OMV524256 OCZ524256 NTD524256 NJH524256 MZL524256 MPP524256 MFT524256 LVX524256 LMB524256 LCF524256 KSJ524256 KIN524256 JYR524256 JOV524256 JEZ524256 IVD524256 ILH524256 IBL524256 HRP524256 HHT524256 GXX524256 GOB524256 GEF524256 FUJ524256 FKN524256 FAR524256 EQV524256 EGZ524256 DXD524256 DNH524256 DDL524256 CTP524256 CJT524256 BZX524256 BQB524256 BGF524256 AWJ524256 AMN524256 ACR524256 SV524256 IZ524256 D524256 WVL458720 WLP458720 WBT458720 VRX458720 VIB458720 UYF458720 UOJ458720 UEN458720 TUR458720 TKV458720 TAZ458720 SRD458720 SHH458720 RXL458720 RNP458720 RDT458720 QTX458720 QKB458720 QAF458720 PQJ458720 PGN458720 OWR458720 OMV458720 OCZ458720 NTD458720 NJH458720 MZL458720 MPP458720 MFT458720 LVX458720 LMB458720 LCF458720 KSJ458720 KIN458720 JYR458720 JOV458720 JEZ458720 IVD458720 ILH458720 IBL458720 HRP458720 HHT458720 GXX458720 GOB458720 GEF458720 FUJ458720 FKN458720 FAR458720 EQV458720 EGZ458720 DXD458720 DNH458720 DDL458720 CTP458720 CJT458720 BZX458720 BQB458720 BGF458720 AWJ458720 AMN458720 ACR458720 SV458720 IZ458720 D458720 WVL393184 WLP393184 WBT393184 VRX393184 VIB393184 UYF393184 UOJ393184 UEN393184 TUR393184 TKV393184 TAZ393184 SRD393184 SHH393184 RXL393184 RNP393184 RDT393184 QTX393184 QKB393184 QAF393184 PQJ393184 PGN393184 OWR393184 OMV393184 OCZ393184 NTD393184 NJH393184 MZL393184 MPP393184 MFT393184 LVX393184 LMB393184 LCF393184 KSJ393184 KIN393184 JYR393184 JOV393184 JEZ393184 IVD393184 ILH393184 IBL393184 HRP393184 HHT393184 GXX393184 GOB393184 GEF393184 FUJ393184 FKN393184 FAR393184 EQV393184 EGZ393184 DXD393184 DNH393184 DDL393184 CTP393184 CJT393184 BZX393184 BQB393184 BGF393184 AWJ393184 AMN393184 ACR393184 SV393184 IZ393184 D393184 WVL327648 WLP327648 WBT327648 VRX327648 VIB327648 UYF327648 UOJ327648 UEN327648 TUR327648 TKV327648 TAZ327648 SRD327648 SHH327648 RXL327648 RNP327648 RDT327648 QTX327648 QKB327648 QAF327648 PQJ327648 PGN327648 OWR327648 OMV327648 OCZ327648 NTD327648 NJH327648 MZL327648 MPP327648 MFT327648 LVX327648 LMB327648 LCF327648 KSJ327648 KIN327648 JYR327648 JOV327648 JEZ327648 IVD327648 ILH327648 IBL327648 HRP327648 HHT327648 GXX327648 GOB327648 GEF327648 FUJ327648 FKN327648 FAR327648 EQV327648 EGZ327648 DXD327648 DNH327648 DDL327648 CTP327648 CJT327648 BZX327648 BQB327648 BGF327648 AWJ327648 AMN327648 ACR327648 SV327648 IZ327648 D327648 WVL262112 WLP262112 WBT262112 VRX262112 VIB262112 UYF262112 UOJ262112 UEN262112 TUR262112 TKV262112 TAZ262112 SRD262112 SHH262112 RXL262112 RNP262112 RDT262112 QTX262112 QKB262112 QAF262112 PQJ262112 PGN262112 OWR262112 OMV262112 OCZ262112 NTD262112 NJH262112 MZL262112 MPP262112 MFT262112 LVX262112 LMB262112 LCF262112 KSJ262112 KIN262112 JYR262112 JOV262112 JEZ262112 IVD262112 ILH262112 IBL262112 HRP262112 HHT262112 GXX262112 GOB262112 GEF262112 FUJ262112 FKN262112 FAR262112 EQV262112 EGZ262112 DXD262112 DNH262112 DDL262112 CTP262112 CJT262112 BZX262112 BQB262112 BGF262112 AWJ262112 AMN262112 ACR262112 SV262112 IZ262112 D262112 WVL196576 WLP196576 WBT196576 VRX196576 VIB196576 UYF196576 UOJ196576 UEN196576 TUR196576 TKV196576 TAZ196576 SRD196576 SHH196576 RXL196576 RNP196576 RDT196576 QTX196576 QKB196576 QAF196576 PQJ196576 PGN196576 OWR196576 OMV196576 OCZ196576 NTD196576 NJH196576 MZL196576 MPP196576 MFT196576 LVX196576 LMB196576 LCF196576 KSJ196576 KIN196576 JYR196576 JOV196576 JEZ196576 IVD196576 ILH196576 IBL196576 HRP196576 HHT196576 GXX196576 GOB196576 GEF196576 FUJ196576 FKN196576 FAR196576 EQV196576 EGZ196576 DXD196576 DNH196576 DDL196576 CTP196576 CJT196576 BZX196576 BQB196576 BGF196576 AWJ196576 AMN196576 ACR196576 SV196576 IZ196576 D196576 WVL131040 WLP131040 WBT131040 VRX131040 VIB131040 UYF131040 UOJ131040 UEN131040 TUR131040 TKV131040 TAZ131040 SRD131040 SHH131040 RXL131040 RNP131040 RDT131040 QTX131040 QKB131040 QAF131040 PQJ131040 PGN131040 OWR131040 OMV131040 OCZ131040 NTD131040 NJH131040 MZL131040 MPP131040 MFT131040 LVX131040 LMB131040 LCF131040 KSJ131040 KIN131040 JYR131040 JOV131040 JEZ131040 IVD131040 ILH131040 IBL131040 HRP131040 HHT131040 GXX131040 GOB131040 GEF131040 FUJ131040 FKN131040 FAR131040 EQV131040 EGZ131040 DXD131040 DNH131040 DDL131040 CTP131040 CJT131040 BZX131040 BQB131040 BGF131040 AWJ131040 AMN131040 ACR131040 SV131040 IZ131040 D131040 WVL65504 WLP65504 WBT65504 VRX65504 VIB65504 UYF65504 UOJ65504 UEN65504 TUR65504 TKV65504 TAZ65504 SRD65504 SHH65504 RXL65504 RNP65504 RDT65504 QTX65504 QKB65504 QAF65504 PQJ65504 PGN65504 OWR65504 OMV65504 OCZ65504 NTD65504 NJH65504 MZL65504 MPP65504 MFT65504 LVX65504 LMB65504 LCF65504 KSJ65504 KIN65504 JYR65504 JOV65504 JEZ65504 IVD65504 ILH65504 IBL65504 HRP65504 HHT65504 GXX65504 GOB65504 GEF65504 FUJ65504 FKN65504 FAR65504 EQV65504 EGZ65504 DXD65504 DNH65504 DDL65504 CTP65504 CJT65504 BZX65504 BQB65504 BGF65504 AWJ65504 AMN65504 ACR65504 SV65504 IZ65504 D65504 WVL35 WLP35 WBT35 VRX35 VIB35 UYF35 UOJ35 UEN35 TUR35 TKV35 TAZ35 SRD35 SHH35 RXL35 RNP35 RDT35 QTX35 QKB35 QAF35 PQJ35 PGN35 OWR35 OMV35 OCZ35 NTD35 NJH35 MZL35 MPP35 MFT35 LVX35 LMB35 LCF35 KSJ35 KIN35 JYR35 JOV35 JEZ35 IVD35 ILH35 IBL35 HRP35 HHT35 GXX35 GOB35 GEF35 FUJ35 FKN35 FAR35 EQV35 EGZ35 DXD35 DNH35 DDL35 CTP35 CJT35 BZX35 BQB35 BGF35 AWJ35 AMN35 ACR35 SV35 IZ35">
      <formula1>$U$35</formula1>
    </dataValidation>
    <dataValidation type="list" allowBlank="1" showInputMessage="1" showErrorMessage="1" sqref="B33:B34 WVJ983006:WVJ983007 WLN983006:WLN983007 WBR983006:WBR983007 VRV983006:VRV983007 VHZ983006:VHZ983007 UYD983006:UYD983007 UOH983006:UOH983007 UEL983006:UEL983007 TUP983006:TUP983007 TKT983006:TKT983007 TAX983006:TAX983007 SRB983006:SRB983007 SHF983006:SHF983007 RXJ983006:RXJ983007 RNN983006:RNN983007 RDR983006:RDR983007 QTV983006:QTV983007 QJZ983006:QJZ983007 QAD983006:QAD983007 PQH983006:PQH983007 PGL983006:PGL983007 OWP983006:OWP983007 OMT983006:OMT983007 OCX983006:OCX983007 NTB983006:NTB983007 NJF983006:NJF983007 MZJ983006:MZJ983007 MPN983006:MPN983007 MFR983006:MFR983007 LVV983006:LVV983007 LLZ983006:LLZ983007 LCD983006:LCD983007 KSH983006:KSH983007 KIL983006:KIL983007 JYP983006:JYP983007 JOT983006:JOT983007 JEX983006:JEX983007 IVB983006:IVB983007 ILF983006:ILF983007 IBJ983006:IBJ983007 HRN983006:HRN983007 HHR983006:HHR983007 GXV983006:GXV983007 GNZ983006:GNZ983007 GED983006:GED983007 FUH983006:FUH983007 FKL983006:FKL983007 FAP983006:FAP983007 EQT983006:EQT983007 EGX983006:EGX983007 DXB983006:DXB983007 DNF983006:DNF983007 DDJ983006:DDJ983007 CTN983006:CTN983007 CJR983006:CJR983007 BZV983006:BZV983007 BPZ983006:BPZ983007 BGD983006:BGD983007 AWH983006:AWH983007 AML983006:AML983007 ACP983006:ACP983007 ST983006:ST983007 IX983006:IX983007 B983006:B983007 WVJ917470:WVJ917471 WLN917470:WLN917471 WBR917470:WBR917471 VRV917470:VRV917471 VHZ917470:VHZ917471 UYD917470:UYD917471 UOH917470:UOH917471 UEL917470:UEL917471 TUP917470:TUP917471 TKT917470:TKT917471 TAX917470:TAX917471 SRB917470:SRB917471 SHF917470:SHF917471 RXJ917470:RXJ917471 RNN917470:RNN917471 RDR917470:RDR917471 QTV917470:QTV917471 QJZ917470:QJZ917471 QAD917470:QAD917471 PQH917470:PQH917471 PGL917470:PGL917471 OWP917470:OWP917471 OMT917470:OMT917471 OCX917470:OCX917471 NTB917470:NTB917471 NJF917470:NJF917471 MZJ917470:MZJ917471 MPN917470:MPN917471 MFR917470:MFR917471 LVV917470:LVV917471 LLZ917470:LLZ917471 LCD917470:LCD917471 KSH917470:KSH917471 KIL917470:KIL917471 JYP917470:JYP917471 JOT917470:JOT917471 JEX917470:JEX917471 IVB917470:IVB917471 ILF917470:ILF917471 IBJ917470:IBJ917471 HRN917470:HRN917471 HHR917470:HHR917471 GXV917470:GXV917471 GNZ917470:GNZ917471 GED917470:GED917471 FUH917470:FUH917471 FKL917470:FKL917471 FAP917470:FAP917471 EQT917470:EQT917471 EGX917470:EGX917471 DXB917470:DXB917471 DNF917470:DNF917471 DDJ917470:DDJ917471 CTN917470:CTN917471 CJR917470:CJR917471 BZV917470:BZV917471 BPZ917470:BPZ917471 BGD917470:BGD917471 AWH917470:AWH917471 AML917470:AML917471 ACP917470:ACP917471 ST917470:ST917471 IX917470:IX917471 B917470:B917471 WVJ851934:WVJ851935 WLN851934:WLN851935 WBR851934:WBR851935 VRV851934:VRV851935 VHZ851934:VHZ851935 UYD851934:UYD851935 UOH851934:UOH851935 UEL851934:UEL851935 TUP851934:TUP851935 TKT851934:TKT851935 TAX851934:TAX851935 SRB851934:SRB851935 SHF851934:SHF851935 RXJ851934:RXJ851935 RNN851934:RNN851935 RDR851934:RDR851935 QTV851934:QTV851935 QJZ851934:QJZ851935 QAD851934:QAD851935 PQH851934:PQH851935 PGL851934:PGL851935 OWP851934:OWP851935 OMT851934:OMT851935 OCX851934:OCX851935 NTB851934:NTB851935 NJF851934:NJF851935 MZJ851934:MZJ851935 MPN851934:MPN851935 MFR851934:MFR851935 LVV851934:LVV851935 LLZ851934:LLZ851935 LCD851934:LCD851935 KSH851934:KSH851935 KIL851934:KIL851935 JYP851934:JYP851935 JOT851934:JOT851935 JEX851934:JEX851935 IVB851934:IVB851935 ILF851934:ILF851935 IBJ851934:IBJ851935 HRN851934:HRN851935 HHR851934:HHR851935 GXV851934:GXV851935 GNZ851934:GNZ851935 GED851934:GED851935 FUH851934:FUH851935 FKL851934:FKL851935 FAP851934:FAP851935 EQT851934:EQT851935 EGX851934:EGX851935 DXB851934:DXB851935 DNF851934:DNF851935 DDJ851934:DDJ851935 CTN851934:CTN851935 CJR851934:CJR851935 BZV851934:BZV851935 BPZ851934:BPZ851935 BGD851934:BGD851935 AWH851934:AWH851935 AML851934:AML851935 ACP851934:ACP851935 ST851934:ST851935 IX851934:IX851935 B851934:B851935 WVJ786398:WVJ786399 WLN786398:WLN786399 WBR786398:WBR786399 VRV786398:VRV786399 VHZ786398:VHZ786399 UYD786398:UYD786399 UOH786398:UOH786399 UEL786398:UEL786399 TUP786398:TUP786399 TKT786398:TKT786399 TAX786398:TAX786399 SRB786398:SRB786399 SHF786398:SHF786399 RXJ786398:RXJ786399 RNN786398:RNN786399 RDR786398:RDR786399 QTV786398:QTV786399 QJZ786398:QJZ786399 QAD786398:QAD786399 PQH786398:PQH786399 PGL786398:PGL786399 OWP786398:OWP786399 OMT786398:OMT786399 OCX786398:OCX786399 NTB786398:NTB786399 NJF786398:NJF786399 MZJ786398:MZJ786399 MPN786398:MPN786399 MFR786398:MFR786399 LVV786398:LVV786399 LLZ786398:LLZ786399 LCD786398:LCD786399 KSH786398:KSH786399 KIL786398:KIL786399 JYP786398:JYP786399 JOT786398:JOT786399 JEX786398:JEX786399 IVB786398:IVB786399 ILF786398:ILF786399 IBJ786398:IBJ786399 HRN786398:HRN786399 HHR786398:HHR786399 GXV786398:GXV786399 GNZ786398:GNZ786399 GED786398:GED786399 FUH786398:FUH786399 FKL786398:FKL786399 FAP786398:FAP786399 EQT786398:EQT786399 EGX786398:EGX786399 DXB786398:DXB786399 DNF786398:DNF786399 DDJ786398:DDJ786399 CTN786398:CTN786399 CJR786398:CJR786399 BZV786398:BZV786399 BPZ786398:BPZ786399 BGD786398:BGD786399 AWH786398:AWH786399 AML786398:AML786399 ACP786398:ACP786399 ST786398:ST786399 IX786398:IX786399 B786398:B786399 WVJ720862:WVJ720863 WLN720862:WLN720863 WBR720862:WBR720863 VRV720862:VRV720863 VHZ720862:VHZ720863 UYD720862:UYD720863 UOH720862:UOH720863 UEL720862:UEL720863 TUP720862:TUP720863 TKT720862:TKT720863 TAX720862:TAX720863 SRB720862:SRB720863 SHF720862:SHF720863 RXJ720862:RXJ720863 RNN720862:RNN720863 RDR720862:RDR720863 QTV720862:QTV720863 QJZ720862:QJZ720863 QAD720862:QAD720863 PQH720862:PQH720863 PGL720862:PGL720863 OWP720862:OWP720863 OMT720862:OMT720863 OCX720862:OCX720863 NTB720862:NTB720863 NJF720862:NJF720863 MZJ720862:MZJ720863 MPN720862:MPN720863 MFR720862:MFR720863 LVV720862:LVV720863 LLZ720862:LLZ720863 LCD720862:LCD720863 KSH720862:KSH720863 KIL720862:KIL720863 JYP720862:JYP720863 JOT720862:JOT720863 JEX720862:JEX720863 IVB720862:IVB720863 ILF720862:ILF720863 IBJ720862:IBJ720863 HRN720862:HRN720863 HHR720862:HHR720863 GXV720862:GXV720863 GNZ720862:GNZ720863 GED720862:GED720863 FUH720862:FUH720863 FKL720862:FKL720863 FAP720862:FAP720863 EQT720862:EQT720863 EGX720862:EGX720863 DXB720862:DXB720863 DNF720862:DNF720863 DDJ720862:DDJ720863 CTN720862:CTN720863 CJR720862:CJR720863 BZV720862:BZV720863 BPZ720862:BPZ720863 BGD720862:BGD720863 AWH720862:AWH720863 AML720862:AML720863 ACP720862:ACP720863 ST720862:ST720863 IX720862:IX720863 B720862:B720863 WVJ655326:WVJ655327 WLN655326:WLN655327 WBR655326:WBR655327 VRV655326:VRV655327 VHZ655326:VHZ655327 UYD655326:UYD655327 UOH655326:UOH655327 UEL655326:UEL655327 TUP655326:TUP655327 TKT655326:TKT655327 TAX655326:TAX655327 SRB655326:SRB655327 SHF655326:SHF655327 RXJ655326:RXJ655327 RNN655326:RNN655327 RDR655326:RDR655327 QTV655326:QTV655327 QJZ655326:QJZ655327 QAD655326:QAD655327 PQH655326:PQH655327 PGL655326:PGL655327 OWP655326:OWP655327 OMT655326:OMT655327 OCX655326:OCX655327 NTB655326:NTB655327 NJF655326:NJF655327 MZJ655326:MZJ655327 MPN655326:MPN655327 MFR655326:MFR655327 LVV655326:LVV655327 LLZ655326:LLZ655327 LCD655326:LCD655327 KSH655326:KSH655327 KIL655326:KIL655327 JYP655326:JYP655327 JOT655326:JOT655327 JEX655326:JEX655327 IVB655326:IVB655327 ILF655326:ILF655327 IBJ655326:IBJ655327 HRN655326:HRN655327 HHR655326:HHR655327 GXV655326:GXV655327 GNZ655326:GNZ655327 GED655326:GED655327 FUH655326:FUH655327 FKL655326:FKL655327 FAP655326:FAP655327 EQT655326:EQT655327 EGX655326:EGX655327 DXB655326:DXB655327 DNF655326:DNF655327 DDJ655326:DDJ655327 CTN655326:CTN655327 CJR655326:CJR655327 BZV655326:BZV655327 BPZ655326:BPZ655327 BGD655326:BGD655327 AWH655326:AWH655327 AML655326:AML655327 ACP655326:ACP655327 ST655326:ST655327 IX655326:IX655327 B655326:B655327 WVJ589790:WVJ589791 WLN589790:WLN589791 WBR589790:WBR589791 VRV589790:VRV589791 VHZ589790:VHZ589791 UYD589790:UYD589791 UOH589790:UOH589791 UEL589790:UEL589791 TUP589790:TUP589791 TKT589790:TKT589791 TAX589790:TAX589791 SRB589790:SRB589791 SHF589790:SHF589791 RXJ589790:RXJ589791 RNN589790:RNN589791 RDR589790:RDR589791 QTV589790:QTV589791 QJZ589790:QJZ589791 QAD589790:QAD589791 PQH589790:PQH589791 PGL589790:PGL589791 OWP589790:OWP589791 OMT589790:OMT589791 OCX589790:OCX589791 NTB589790:NTB589791 NJF589790:NJF589791 MZJ589790:MZJ589791 MPN589790:MPN589791 MFR589790:MFR589791 LVV589790:LVV589791 LLZ589790:LLZ589791 LCD589790:LCD589791 KSH589790:KSH589791 KIL589790:KIL589791 JYP589790:JYP589791 JOT589790:JOT589791 JEX589790:JEX589791 IVB589790:IVB589791 ILF589790:ILF589791 IBJ589790:IBJ589791 HRN589790:HRN589791 HHR589790:HHR589791 GXV589790:GXV589791 GNZ589790:GNZ589791 GED589790:GED589791 FUH589790:FUH589791 FKL589790:FKL589791 FAP589790:FAP589791 EQT589790:EQT589791 EGX589790:EGX589791 DXB589790:DXB589791 DNF589790:DNF589791 DDJ589790:DDJ589791 CTN589790:CTN589791 CJR589790:CJR589791 BZV589790:BZV589791 BPZ589790:BPZ589791 BGD589790:BGD589791 AWH589790:AWH589791 AML589790:AML589791 ACP589790:ACP589791 ST589790:ST589791 IX589790:IX589791 B589790:B589791 WVJ524254:WVJ524255 WLN524254:WLN524255 WBR524254:WBR524255 VRV524254:VRV524255 VHZ524254:VHZ524255 UYD524254:UYD524255 UOH524254:UOH524255 UEL524254:UEL524255 TUP524254:TUP524255 TKT524254:TKT524255 TAX524254:TAX524255 SRB524254:SRB524255 SHF524254:SHF524255 RXJ524254:RXJ524255 RNN524254:RNN524255 RDR524254:RDR524255 QTV524254:QTV524255 QJZ524254:QJZ524255 QAD524254:QAD524255 PQH524254:PQH524255 PGL524254:PGL524255 OWP524254:OWP524255 OMT524254:OMT524255 OCX524254:OCX524255 NTB524254:NTB524255 NJF524254:NJF524255 MZJ524254:MZJ524255 MPN524254:MPN524255 MFR524254:MFR524255 LVV524254:LVV524255 LLZ524254:LLZ524255 LCD524254:LCD524255 KSH524254:KSH524255 KIL524254:KIL524255 JYP524254:JYP524255 JOT524254:JOT524255 JEX524254:JEX524255 IVB524254:IVB524255 ILF524254:ILF524255 IBJ524254:IBJ524255 HRN524254:HRN524255 HHR524254:HHR524255 GXV524254:GXV524255 GNZ524254:GNZ524255 GED524254:GED524255 FUH524254:FUH524255 FKL524254:FKL524255 FAP524254:FAP524255 EQT524254:EQT524255 EGX524254:EGX524255 DXB524254:DXB524255 DNF524254:DNF524255 DDJ524254:DDJ524255 CTN524254:CTN524255 CJR524254:CJR524255 BZV524254:BZV524255 BPZ524254:BPZ524255 BGD524254:BGD524255 AWH524254:AWH524255 AML524254:AML524255 ACP524254:ACP524255 ST524254:ST524255 IX524254:IX524255 B524254:B524255 WVJ458718:WVJ458719 WLN458718:WLN458719 WBR458718:WBR458719 VRV458718:VRV458719 VHZ458718:VHZ458719 UYD458718:UYD458719 UOH458718:UOH458719 UEL458718:UEL458719 TUP458718:TUP458719 TKT458718:TKT458719 TAX458718:TAX458719 SRB458718:SRB458719 SHF458718:SHF458719 RXJ458718:RXJ458719 RNN458718:RNN458719 RDR458718:RDR458719 QTV458718:QTV458719 QJZ458718:QJZ458719 QAD458718:QAD458719 PQH458718:PQH458719 PGL458718:PGL458719 OWP458718:OWP458719 OMT458718:OMT458719 OCX458718:OCX458719 NTB458718:NTB458719 NJF458718:NJF458719 MZJ458718:MZJ458719 MPN458718:MPN458719 MFR458718:MFR458719 LVV458718:LVV458719 LLZ458718:LLZ458719 LCD458718:LCD458719 KSH458718:KSH458719 KIL458718:KIL458719 JYP458718:JYP458719 JOT458718:JOT458719 JEX458718:JEX458719 IVB458718:IVB458719 ILF458718:ILF458719 IBJ458718:IBJ458719 HRN458718:HRN458719 HHR458718:HHR458719 GXV458718:GXV458719 GNZ458718:GNZ458719 GED458718:GED458719 FUH458718:FUH458719 FKL458718:FKL458719 FAP458718:FAP458719 EQT458718:EQT458719 EGX458718:EGX458719 DXB458718:DXB458719 DNF458718:DNF458719 DDJ458718:DDJ458719 CTN458718:CTN458719 CJR458718:CJR458719 BZV458718:BZV458719 BPZ458718:BPZ458719 BGD458718:BGD458719 AWH458718:AWH458719 AML458718:AML458719 ACP458718:ACP458719 ST458718:ST458719 IX458718:IX458719 B458718:B458719 WVJ393182:WVJ393183 WLN393182:WLN393183 WBR393182:WBR393183 VRV393182:VRV393183 VHZ393182:VHZ393183 UYD393182:UYD393183 UOH393182:UOH393183 UEL393182:UEL393183 TUP393182:TUP393183 TKT393182:TKT393183 TAX393182:TAX393183 SRB393182:SRB393183 SHF393182:SHF393183 RXJ393182:RXJ393183 RNN393182:RNN393183 RDR393182:RDR393183 QTV393182:QTV393183 QJZ393182:QJZ393183 QAD393182:QAD393183 PQH393182:PQH393183 PGL393182:PGL393183 OWP393182:OWP393183 OMT393182:OMT393183 OCX393182:OCX393183 NTB393182:NTB393183 NJF393182:NJF393183 MZJ393182:MZJ393183 MPN393182:MPN393183 MFR393182:MFR393183 LVV393182:LVV393183 LLZ393182:LLZ393183 LCD393182:LCD393183 KSH393182:KSH393183 KIL393182:KIL393183 JYP393182:JYP393183 JOT393182:JOT393183 JEX393182:JEX393183 IVB393182:IVB393183 ILF393182:ILF393183 IBJ393182:IBJ393183 HRN393182:HRN393183 HHR393182:HHR393183 GXV393182:GXV393183 GNZ393182:GNZ393183 GED393182:GED393183 FUH393182:FUH393183 FKL393182:FKL393183 FAP393182:FAP393183 EQT393182:EQT393183 EGX393182:EGX393183 DXB393182:DXB393183 DNF393182:DNF393183 DDJ393182:DDJ393183 CTN393182:CTN393183 CJR393182:CJR393183 BZV393182:BZV393183 BPZ393182:BPZ393183 BGD393182:BGD393183 AWH393182:AWH393183 AML393182:AML393183 ACP393182:ACP393183 ST393182:ST393183 IX393182:IX393183 B393182:B393183 WVJ327646:WVJ327647 WLN327646:WLN327647 WBR327646:WBR327647 VRV327646:VRV327647 VHZ327646:VHZ327647 UYD327646:UYD327647 UOH327646:UOH327647 UEL327646:UEL327647 TUP327646:TUP327647 TKT327646:TKT327647 TAX327646:TAX327647 SRB327646:SRB327647 SHF327646:SHF327647 RXJ327646:RXJ327647 RNN327646:RNN327647 RDR327646:RDR327647 QTV327646:QTV327647 QJZ327646:QJZ327647 QAD327646:QAD327647 PQH327646:PQH327647 PGL327646:PGL327647 OWP327646:OWP327647 OMT327646:OMT327647 OCX327646:OCX327647 NTB327646:NTB327647 NJF327646:NJF327647 MZJ327646:MZJ327647 MPN327646:MPN327647 MFR327646:MFR327647 LVV327646:LVV327647 LLZ327646:LLZ327647 LCD327646:LCD327647 KSH327646:KSH327647 KIL327646:KIL327647 JYP327646:JYP327647 JOT327646:JOT327647 JEX327646:JEX327647 IVB327646:IVB327647 ILF327646:ILF327647 IBJ327646:IBJ327647 HRN327646:HRN327647 HHR327646:HHR327647 GXV327646:GXV327647 GNZ327646:GNZ327647 GED327646:GED327647 FUH327646:FUH327647 FKL327646:FKL327647 FAP327646:FAP327647 EQT327646:EQT327647 EGX327646:EGX327647 DXB327646:DXB327647 DNF327646:DNF327647 DDJ327646:DDJ327647 CTN327646:CTN327647 CJR327646:CJR327647 BZV327646:BZV327647 BPZ327646:BPZ327647 BGD327646:BGD327647 AWH327646:AWH327647 AML327646:AML327647 ACP327646:ACP327647 ST327646:ST327647 IX327646:IX327647 B327646:B327647 WVJ262110:WVJ262111 WLN262110:WLN262111 WBR262110:WBR262111 VRV262110:VRV262111 VHZ262110:VHZ262111 UYD262110:UYD262111 UOH262110:UOH262111 UEL262110:UEL262111 TUP262110:TUP262111 TKT262110:TKT262111 TAX262110:TAX262111 SRB262110:SRB262111 SHF262110:SHF262111 RXJ262110:RXJ262111 RNN262110:RNN262111 RDR262110:RDR262111 QTV262110:QTV262111 QJZ262110:QJZ262111 QAD262110:QAD262111 PQH262110:PQH262111 PGL262110:PGL262111 OWP262110:OWP262111 OMT262110:OMT262111 OCX262110:OCX262111 NTB262110:NTB262111 NJF262110:NJF262111 MZJ262110:MZJ262111 MPN262110:MPN262111 MFR262110:MFR262111 LVV262110:LVV262111 LLZ262110:LLZ262111 LCD262110:LCD262111 KSH262110:KSH262111 KIL262110:KIL262111 JYP262110:JYP262111 JOT262110:JOT262111 JEX262110:JEX262111 IVB262110:IVB262111 ILF262110:ILF262111 IBJ262110:IBJ262111 HRN262110:HRN262111 HHR262110:HHR262111 GXV262110:GXV262111 GNZ262110:GNZ262111 GED262110:GED262111 FUH262110:FUH262111 FKL262110:FKL262111 FAP262110:FAP262111 EQT262110:EQT262111 EGX262110:EGX262111 DXB262110:DXB262111 DNF262110:DNF262111 DDJ262110:DDJ262111 CTN262110:CTN262111 CJR262110:CJR262111 BZV262110:BZV262111 BPZ262110:BPZ262111 BGD262110:BGD262111 AWH262110:AWH262111 AML262110:AML262111 ACP262110:ACP262111 ST262110:ST262111 IX262110:IX262111 B262110:B262111 WVJ196574:WVJ196575 WLN196574:WLN196575 WBR196574:WBR196575 VRV196574:VRV196575 VHZ196574:VHZ196575 UYD196574:UYD196575 UOH196574:UOH196575 UEL196574:UEL196575 TUP196574:TUP196575 TKT196574:TKT196575 TAX196574:TAX196575 SRB196574:SRB196575 SHF196574:SHF196575 RXJ196574:RXJ196575 RNN196574:RNN196575 RDR196574:RDR196575 QTV196574:QTV196575 QJZ196574:QJZ196575 QAD196574:QAD196575 PQH196574:PQH196575 PGL196574:PGL196575 OWP196574:OWP196575 OMT196574:OMT196575 OCX196574:OCX196575 NTB196574:NTB196575 NJF196574:NJF196575 MZJ196574:MZJ196575 MPN196574:MPN196575 MFR196574:MFR196575 LVV196574:LVV196575 LLZ196574:LLZ196575 LCD196574:LCD196575 KSH196574:KSH196575 KIL196574:KIL196575 JYP196574:JYP196575 JOT196574:JOT196575 JEX196574:JEX196575 IVB196574:IVB196575 ILF196574:ILF196575 IBJ196574:IBJ196575 HRN196574:HRN196575 HHR196574:HHR196575 GXV196574:GXV196575 GNZ196574:GNZ196575 GED196574:GED196575 FUH196574:FUH196575 FKL196574:FKL196575 FAP196574:FAP196575 EQT196574:EQT196575 EGX196574:EGX196575 DXB196574:DXB196575 DNF196574:DNF196575 DDJ196574:DDJ196575 CTN196574:CTN196575 CJR196574:CJR196575 BZV196574:BZV196575 BPZ196574:BPZ196575 BGD196574:BGD196575 AWH196574:AWH196575 AML196574:AML196575 ACP196574:ACP196575 ST196574:ST196575 IX196574:IX196575 B196574:B196575 WVJ131038:WVJ131039 WLN131038:WLN131039 WBR131038:WBR131039 VRV131038:VRV131039 VHZ131038:VHZ131039 UYD131038:UYD131039 UOH131038:UOH131039 UEL131038:UEL131039 TUP131038:TUP131039 TKT131038:TKT131039 TAX131038:TAX131039 SRB131038:SRB131039 SHF131038:SHF131039 RXJ131038:RXJ131039 RNN131038:RNN131039 RDR131038:RDR131039 QTV131038:QTV131039 QJZ131038:QJZ131039 QAD131038:QAD131039 PQH131038:PQH131039 PGL131038:PGL131039 OWP131038:OWP131039 OMT131038:OMT131039 OCX131038:OCX131039 NTB131038:NTB131039 NJF131038:NJF131039 MZJ131038:MZJ131039 MPN131038:MPN131039 MFR131038:MFR131039 LVV131038:LVV131039 LLZ131038:LLZ131039 LCD131038:LCD131039 KSH131038:KSH131039 KIL131038:KIL131039 JYP131038:JYP131039 JOT131038:JOT131039 JEX131038:JEX131039 IVB131038:IVB131039 ILF131038:ILF131039 IBJ131038:IBJ131039 HRN131038:HRN131039 HHR131038:HHR131039 GXV131038:GXV131039 GNZ131038:GNZ131039 GED131038:GED131039 FUH131038:FUH131039 FKL131038:FKL131039 FAP131038:FAP131039 EQT131038:EQT131039 EGX131038:EGX131039 DXB131038:DXB131039 DNF131038:DNF131039 DDJ131038:DDJ131039 CTN131038:CTN131039 CJR131038:CJR131039 BZV131038:BZV131039 BPZ131038:BPZ131039 BGD131038:BGD131039 AWH131038:AWH131039 AML131038:AML131039 ACP131038:ACP131039 ST131038:ST131039 IX131038:IX131039 B131038:B131039 WVJ65502:WVJ65503 WLN65502:WLN65503 WBR65502:WBR65503 VRV65502:VRV65503 VHZ65502:VHZ65503 UYD65502:UYD65503 UOH65502:UOH65503 UEL65502:UEL65503 TUP65502:TUP65503 TKT65502:TKT65503 TAX65502:TAX65503 SRB65502:SRB65503 SHF65502:SHF65503 RXJ65502:RXJ65503 RNN65502:RNN65503 RDR65502:RDR65503 QTV65502:QTV65503 QJZ65502:QJZ65503 QAD65502:QAD65503 PQH65502:PQH65503 PGL65502:PGL65503 OWP65502:OWP65503 OMT65502:OMT65503 OCX65502:OCX65503 NTB65502:NTB65503 NJF65502:NJF65503 MZJ65502:MZJ65503 MPN65502:MPN65503 MFR65502:MFR65503 LVV65502:LVV65503 LLZ65502:LLZ65503 LCD65502:LCD65503 KSH65502:KSH65503 KIL65502:KIL65503 JYP65502:JYP65503 JOT65502:JOT65503 JEX65502:JEX65503 IVB65502:IVB65503 ILF65502:ILF65503 IBJ65502:IBJ65503 HRN65502:HRN65503 HHR65502:HHR65503 GXV65502:GXV65503 GNZ65502:GNZ65503 GED65502:GED65503 FUH65502:FUH65503 FKL65502:FKL65503 FAP65502:FAP65503 EQT65502:EQT65503 EGX65502:EGX65503 DXB65502:DXB65503 DNF65502:DNF65503 DDJ65502:DDJ65503 CTN65502:CTN65503 CJR65502:CJR65503 BZV65502:BZV65503 BPZ65502:BPZ65503 BGD65502:BGD65503 AWH65502:AWH65503 AML65502:AML65503 ACP65502:ACP65503 ST65502:ST65503 IX65502:IX65503 B65502:B65503 WVJ33:WVJ34 WLN33:WLN34 WBR33:WBR34 VRV33:VRV34 VHZ33:VHZ34 UYD33:UYD34 UOH33:UOH34 UEL33:UEL34 TUP33:TUP34 TKT33:TKT34 TAX33:TAX34 SRB33:SRB34 SHF33:SHF34 RXJ33:RXJ34 RNN33:RNN34 RDR33:RDR34 QTV33:QTV34 QJZ33:QJZ34 QAD33:QAD34 PQH33:PQH34 PGL33:PGL34 OWP33:OWP34 OMT33:OMT34 OCX33:OCX34 NTB33:NTB34 NJF33:NJF34 MZJ33:MZJ34 MPN33:MPN34 MFR33:MFR34 LVV33:LVV34 LLZ33:LLZ34 LCD33:LCD34 KSH33:KSH34 KIL33:KIL34 JYP33:JYP34 JOT33:JOT34 JEX33:JEX34 IVB33:IVB34 ILF33:ILF34 IBJ33:IBJ34 HRN33:HRN34 HHR33:HHR34 GXV33:GXV34 GNZ33:GNZ34 GED33:GED34 FUH33:FUH34 FKL33:FKL34 FAP33:FAP34 EQT33:EQT34 EGX33:EGX34 DXB33:DXB34 DNF33:DNF34 DDJ33:DDJ34 CTN33:CTN34 CJR33:CJR34 BZV33:BZV34 BPZ33:BPZ34 BGD33:BGD34 AWH33:AWH34 AML33:AML34 ACP33:ACP34 ST33:ST34 IX33:IX34">
      <formula1>$R$33</formula1>
    </dataValidation>
    <dataValidation type="list" allowBlank="1" showInputMessage="1" showErrorMessage="1" promptTitle="Klik hier om een keuze te maken" sqref="F65477:K65477 JB65477:JG65477 SX65477:TC65477 ACT65477:ACY65477 AMP65477:AMU65477 AWL65477:AWQ65477 BGH65477:BGM65477 BQD65477:BQI65477 BZZ65477:CAE65477 CJV65477:CKA65477 CTR65477:CTW65477 DDN65477:DDS65477 DNJ65477:DNO65477 DXF65477:DXK65477 EHB65477:EHG65477 EQX65477:ERC65477 FAT65477:FAY65477 FKP65477:FKU65477 FUL65477:FUQ65477 GEH65477:GEM65477 GOD65477:GOI65477 GXZ65477:GYE65477 HHV65477:HIA65477 HRR65477:HRW65477 IBN65477:IBS65477 ILJ65477:ILO65477 IVF65477:IVK65477 JFB65477:JFG65477 JOX65477:JPC65477 JYT65477:JYY65477 KIP65477:KIU65477 KSL65477:KSQ65477 LCH65477:LCM65477 LMD65477:LMI65477 LVZ65477:LWE65477 MFV65477:MGA65477 MPR65477:MPW65477 MZN65477:MZS65477 NJJ65477:NJO65477 NTF65477:NTK65477 ODB65477:ODG65477 OMX65477:ONC65477 OWT65477:OWY65477 PGP65477:PGU65477 PQL65477:PQQ65477 QAH65477:QAM65477 QKD65477:QKI65477 QTZ65477:QUE65477 RDV65477:REA65477 RNR65477:RNW65477 RXN65477:RXS65477 SHJ65477:SHO65477 SRF65477:SRK65477 TBB65477:TBG65477 TKX65477:TLC65477 TUT65477:TUY65477 UEP65477:UEU65477 UOL65477:UOQ65477 UYH65477:UYM65477 VID65477:VII65477 VRZ65477:VSE65477 WBV65477:WCA65477 WLR65477:WLW65477 WVN65477:WVS65477 F131013:K131013 JB131013:JG131013 SX131013:TC131013 ACT131013:ACY131013 AMP131013:AMU131013 AWL131013:AWQ131013 BGH131013:BGM131013 BQD131013:BQI131013 BZZ131013:CAE131013 CJV131013:CKA131013 CTR131013:CTW131013 DDN131013:DDS131013 DNJ131013:DNO131013 DXF131013:DXK131013 EHB131013:EHG131013 EQX131013:ERC131013 FAT131013:FAY131013 FKP131013:FKU131013 FUL131013:FUQ131013 GEH131013:GEM131013 GOD131013:GOI131013 GXZ131013:GYE131013 HHV131013:HIA131013 HRR131013:HRW131013 IBN131013:IBS131013 ILJ131013:ILO131013 IVF131013:IVK131013 JFB131013:JFG131013 JOX131013:JPC131013 JYT131013:JYY131013 KIP131013:KIU131013 KSL131013:KSQ131013 LCH131013:LCM131013 LMD131013:LMI131013 LVZ131013:LWE131013 MFV131013:MGA131013 MPR131013:MPW131013 MZN131013:MZS131013 NJJ131013:NJO131013 NTF131013:NTK131013 ODB131013:ODG131013 OMX131013:ONC131013 OWT131013:OWY131013 PGP131013:PGU131013 PQL131013:PQQ131013 QAH131013:QAM131013 QKD131013:QKI131013 QTZ131013:QUE131013 RDV131013:REA131013 RNR131013:RNW131013 RXN131013:RXS131013 SHJ131013:SHO131013 SRF131013:SRK131013 TBB131013:TBG131013 TKX131013:TLC131013 TUT131013:TUY131013 UEP131013:UEU131013 UOL131013:UOQ131013 UYH131013:UYM131013 VID131013:VII131013 VRZ131013:VSE131013 WBV131013:WCA131013 WLR131013:WLW131013 WVN131013:WVS131013 F196549:K196549 JB196549:JG196549 SX196549:TC196549 ACT196549:ACY196549 AMP196549:AMU196549 AWL196549:AWQ196549 BGH196549:BGM196549 BQD196549:BQI196549 BZZ196549:CAE196549 CJV196549:CKA196549 CTR196549:CTW196549 DDN196549:DDS196549 DNJ196549:DNO196549 DXF196549:DXK196549 EHB196549:EHG196549 EQX196549:ERC196549 FAT196549:FAY196549 FKP196549:FKU196549 FUL196549:FUQ196549 GEH196549:GEM196549 GOD196549:GOI196549 GXZ196549:GYE196549 HHV196549:HIA196549 HRR196549:HRW196549 IBN196549:IBS196549 ILJ196549:ILO196549 IVF196549:IVK196549 JFB196549:JFG196549 JOX196549:JPC196549 JYT196549:JYY196549 KIP196549:KIU196549 KSL196549:KSQ196549 LCH196549:LCM196549 LMD196549:LMI196549 LVZ196549:LWE196549 MFV196549:MGA196549 MPR196549:MPW196549 MZN196549:MZS196549 NJJ196549:NJO196549 NTF196549:NTK196549 ODB196549:ODG196549 OMX196549:ONC196549 OWT196549:OWY196549 PGP196549:PGU196549 PQL196549:PQQ196549 QAH196549:QAM196549 QKD196549:QKI196549 QTZ196549:QUE196549 RDV196549:REA196549 RNR196549:RNW196549 RXN196549:RXS196549 SHJ196549:SHO196549 SRF196549:SRK196549 TBB196549:TBG196549 TKX196549:TLC196549 TUT196549:TUY196549 UEP196549:UEU196549 UOL196549:UOQ196549 UYH196549:UYM196549 VID196549:VII196549 VRZ196549:VSE196549 WBV196549:WCA196549 WLR196549:WLW196549 WVN196549:WVS196549 F262085:K262085 JB262085:JG262085 SX262085:TC262085 ACT262085:ACY262085 AMP262085:AMU262085 AWL262085:AWQ262085 BGH262085:BGM262085 BQD262085:BQI262085 BZZ262085:CAE262085 CJV262085:CKA262085 CTR262085:CTW262085 DDN262085:DDS262085 DNJ262085:DNO262085 DXF262085:DXK262085 EHB262085:EHG262085 EQX262085:ERC262085 FAT262085:FAY262085 FKP262085:FKU262085 FUL262085:FUQ262085 GEH262085:GEM262085 GOD262085:GOI262085 GXZ262085:GYE262085 HHV262085:HIA262085 HRR262085:HRW262085 IBN262085:IBS262085 ILJ262085:ILO262085 IVF262085:IVK262085 JFB262085:JFG262085 JOX262085:JPC262085 JYT262085:JYY262085 KIP262085:KIU262085 KSL262085:KSQ262085 LCH262085:LCM262085 LMD262085:LMI262085 LVZ262085:LWE262085 MFV262085:MGA262085 MPR262085:MPW262085 MZN262085:MZS262085 NJJ262085:NJO262085 NTF262085:NTK262085 ODB262085:ODG262085 OMX262085:ONC262085 OWT262085:OWY262085 PGP262085:PGU262085 PQL262085:PQQ262085 QAH262085:QAM262085 QKD262085:QKI262085 QTZ262085:QUE262085 RDV262085:REA262085 RNR262085:RNW262085 RXN262085:RXS262085 SHJ262085:SHO262085 SRF262085:SRK262085 TBB262085:TBG262085 TKX262085:TLC262085 TUT262085:TUY262085 UEP262085:UEU262085 UOL262085:UOQ262085 UYH262085:UYM262085 VID262085:VII262085 VRZ262085:VSE262085 WBV262085:WCA262085 WLR262085:WLW262085 WVN262085:WVS262085 F327621:K327621 JB327621:JG327621 SX327621:TC327621 ACT327621:ACY327621 AMP327621:AMU327621 AWL327621:AWQ327621 BGH327621:BGM327621 BQD327621:BQI327621 BZZ327621:CAE327621 CJV327621:CKA327621 CTR327621:CTW327621 DDN327621:DDS327621 DNJ327621:DNO327621 DXF327621:DXK327621 EHB327621:EHG327621 EQX327621:ERC327621 FAT327621:FAY327621 FKP327621:FKU327621 FUL327621:FUQ327621 GEH327621:GEM327621 GOD327621:GOI327621 GXZ327621:GYE327621 HHV327621:HIA327621 HRR327621:HRW327621 IBN327621:IBS327621 ILJ327621:ILO327621 IVF327621:IVK327621 JFB327621:JFG327621 JOX327621:JPC327621 JYT327621:JYY327621 KIP327621:KIU327621 KSL327621:KSQ327621 LCH327621:LCM327621 LMD327621:LMI327621 LVZ327621:LWE327621 MFV327621:MGA327621 MPR327621:MPW327621 MZN327621:MZS327621 NJJ327621:NJO327621 NTF327621:NTK327621 ODB327621:ODG327621 OMX327621:ONC327621 OWT327621:OWY327621 PGP327621:PGU327621 PQL327621:PQQ327621 QAH327621:QAM327621 QKD327621:QKI327621 QTZ327621:QUE327621 RDV327621:REA327621 RNR327621:RNW327621 RXN327621:RXS327621 SHJ327621:SHO327621 SRF327621:SRK327621 TBB327621:TBG327621 TKX327621:TLC327621 TUT327621:TUY327621 UEP327621:UEU327621 UOL327621:UOQ327621 UYH327621:UYM327621 VID327621:VII327621 VRZ327621:VSE327621 WBV327621:WCA327621 WLR327621:WLW327621 WVN327621:WVS327621 F393157:K393157 JB393157:JG393157 SX393157:TC393157 ACT393157:ACY393157 AMP393157:AMU393157 AWL393157:AWQ393157 BGH393157:BGM393157 BQD393157:BQI393157 BZZ393157:CAE393157 CJV393157:CKA393157 CTR393157:CTW393157 DDN393157:DDS393157 DNJ393157:DNO393157 DXF393157:DXK393157 EHB393157:EHG393157 EQX393157:ERC393157 FAT393157:FAY393157 FKP393157:FKU393157 FUL393157:FUQ393157 GEH393157:GEM393157 GOD393157:GOI393157 GXZ393157:GYE393157 HHV393157:HIA393157 HRR393157:HRW393157 IBN393157:IBS393157 ILJ393157:ILO393157 IVF393157:IVK393157 JFB393157:JFG393157 JOX393157:JPC393157 JYT393157:JYY393157 KIP393157:KIU393157 KSL393157:KSQ393157 LCH393157:LCM393157 LMD393157:LMI393157 LVZ393157:LWE393157 MFV393157:MGA393157 MPR393157:MPW393157 MZN393157:MZS393157 NJJ393157:NJO393157 NTF393157:NTK393157 ODB393157:ODG393157 OMX393157:ONC393157 OWT393157:OWY393157 PGP393157:PGU393157 PQL393157:PQQ393157 QAH393157:QAM393157 QKD393157:QKI393157 QTZ393157:QUE393157 RDV393157:REA393157 RNR393157:RNW393157 RXN393157:RXS393157 SHJ393157:SHO393157 SRF393157:SRK393157 TBB393157:TBG393157 TKX393157:TLC393157 TUT393157:TUY393157 UEP393157:UEU393157 UOL393157:UOQ393157 UYH393157:UYM393157 VID393157:VII393157 VRZ393157:VSE393157 WBV393157:WCA393157 WLR393157:WLW393157 WVN393157:WVS393157 F458693:K458693 JB458693:JG458693 SX458693:TC458693 ACT458693:ACY458693 AMP458693:AMU458693 AWL458693:AWQ458693 BGH458693:BGM458693 BQD458693:BQI458693 BZZ458693:CAE458693 CJV458693:CKA458693 CTR458693:CTW458693 DDN458693:DDS458693 DNJ458693:DNO458693 DXF458693:DXK458693 EHB458693:EHG458693 EQX458693:ERC458693 FAT458693:FAY458693 FKP458693:FKU458693 FUL458693:FUQ458693 GEH458693:GEM458693 GOD458693:GOI458693 GXZ458693:GYE458693 HHV458693:HIA458693 HRR458693:HRW458693 IBN458693:IBS458693 ILJ458693:ILO458693 IVF458693:IVK458693 JFB458693:JFG458693 JOX458693:JPC458693 JYT458693:JYY458693 KIP458693:KIU458693 KSL458693:KSQ458693 LCH458693:LCM458693 LMD458693:LMI458693 LVZ458693:LWE458693 MFV458693:MGA458693 MPR458693:MPW458693 MZN458693:MZS458693 NJJ458693:NJO458693 NTF458693:NTK458693 ODB458693:ODG458693 OMX458693:ONC458693 OWT458693:OWY458693 PGP458693:PGU458693 PQL458693:PQQ458693 QAH458693:QAM458693 QKD458693:QKI458693 QTZ458693:QUE458693 RDV458693:REA458693 RNR458693:RNW458693 RXN458693:RXS458693 SHJ458693:SHO458693 SRF458693:SRK458693 TBB458693:TBG458693 TKX458693:TLC458693 TUT458693:TUY458693 UEP458693:UEU458693 UOL458693:UOQ458693 UYH458693:UYM458693 VID458693:VII458693 VRZ458693:VSE458693 WBV458693:WCA458693 WLR458693:WLW458693 WVN458693:WVS458693 F524229:K524229 JB524229:JG524229 SX524229:TC524229 ACT524229:ACY524229 AMP524229:AMU524229 AWL524229:AWQ524229 BGH524229:BGM524229 BQD524229:BQI524229 BZZ524229:CAE524229 CJV524229:CKA524229 CTR524229:CTW524229 DDN524229:DDS524229 DNJ524229:DNO524229 DXF524229:DXK524229 EHB524229:EHG524229 EQX524229:ERC524229 FAT524229:FAY524229 FKP524229:FKU524229 FUL524229:FUQ524229 GEH524229:GEM524229 GOD524229:GOI524229 GXZ524229:GYE524229 HHV524229:HIA524229 HRR524229:HRW524229 IBN524229:IBS524229 ILJ524229:ILO524229 IVF524229:IVK524229 JFB524229:JFG524229 JOX524229:JPC524229 JYT524229:JYY524229 KIP524229:KIU524229 KSL524229:KSQ524229 LCH524229:LCM524229 LMD524229:LMI524229 LVZ524229:LWE524229 MFV524229:MGA524229 MPR524229:MPW524229 MZN524229:MZS524229 NJJ524229:NJO524229 NTF524229:NTK524229 ODB524229:ODG524229 OMX524229:ONC524229 OWT524229:OWY524229 PGP524229:PGU524229 PQL524229:PQQ524229 QAH524229:QAM524229 QKD524229:QKI524229 QTZ524229:QUE524229 RDV524229:REA524229 RNR524229:RNW524229 RXN524229:RXS524229 SHJ524229:SHO524229 SRF524229:SRK524229 TBB524229:TBG524229 TKX524229:TLC524229 TUT524229:TUY524229 UEP524229:UEU524229 UOL524229:UOQ524229 UYH524229:UYM524229 VID524229:VII524229 VRZ524229:VSE524229 WBV524229:WCA524229 WLR524229:WLW524229 WVN524229:WVS524229 F589765:K589765 JB589765:JG589765 SX589765:TC589765 ACT589765:ACY589765 AMP589765:AMU589765 AWL589765:AWQ589765 BGH589765:BGM589765 BQD589765:BQI589765 BZZ589765:CAE589765 CJV589765:CKA589765 CTR589765:CTW589765 DDN589765:DDS589765 DNJ589765:DNO589765 DXF589765:DXK589765 EHB589765:EHG589765 EQX589765:ERC589765 FAT589765:FAY589765 FKP589765:FKU589765 FUL589765:FUQ589765 GEH589765:GEM589765 GOD589765:GOI589765 GXZ589765:GYE589765 HHV589765:HIA589765 HRR589765:HRW589765 IBN589765:IBS589765 ILJ589765:ILO589765 IVF589765:IVK589765 JFB589765:JFG589765 JOX589765:JPC589765 JYT589765:JYY589765 KIP589765:KIU589765 KSL589765:KSQ589765 LCH589765:LCM589765 LMD589765:LMI589765 LVZ589765:LWE589765 MFV589765:MGA589765 MPR589765:MPW589765 MZN589765:MZS589765 NJJ589765:NJO589765 NTF589765:NTK589765 ODB589765:ODG589765 OMX589765:ONC589765 OWT589765:OWY589765 PGP589765:PGU589765 PQL589765:PQQ589765 QAH589765:QAM589765 QKD589765:QKI589765 QTZ589765:QUE589765 RDV589765:REA589765 RNR589765:RNW589765 RXN589765:RXS589765 SHJ589765:SHO589765 SRF589765:SRK589765 TBB589765:TBG589765 TKX589765:TLC589765 TUT589765:TUY589765 UEP589765:UEU589765 UOL589765:UOQ589765 UYH589765:UYM589765 VID589765:VII589765 VRZ589765:VSE589765 WBV589765:WCA589765 WLR589765:WLW589765 WVN589765:WVS589765 F655301:K655301 JB655301:JG655301 SX655301:TC655301 ACT655301:ACY655301 AMP655301:AMU655301 AWL655301:AWQ655301 BGH655301:BGM655301 BQD655301:BQI655301 BZZ655301:CAE655301 CJV655301:CKA655301 CTR655301:CTW655301 DDN655301:DDS655301 DNJ655301:DNO655301 DXF655301:DXK655301 EHB655301:EHG655301 EQX655301:ERC655301 FAT655301:FAY655301 FKP655301:FKU655301 FUL655301:FUQ655301 GEH655301:GEM655301 GOD655301:GOI655301 GXZ655301:GYE655301 HHV655301:HIA655301 HRR655301:HRW655301 IBN655301:IBS655301 ILJ655301:ILO655301 IVF655301:IVK655301 JFB655301:JFG655301 JOX655301:JPC655301 JYT655301:JYY655301 KIP655301:KIU655301 KSL655301:KSQ655301 LCH655301:LCM655301 LMD655301:LMI655301 LVZ655301:LWE655301 MFV655301:MGA655301 MPR655301:MPW655301 MZN655301:MZS655301 NJJ655301:NJO655301 NTF655301:NTK655301 ODB655301:ODG655301 OMX655301:ONC655301 OWT655301:OWY655301 PGP655301:PGU655301 PQL655301:PQQ655301 QAH655301:QAM655301 QKD655301:QKI655301 QTZ655301:QUE655301 RDV655301:REA655301 RNR655301:RNW655301 RXN655301:RXS655301 SHJ655301:SHO655301 SRF655301:SRK655301 TBB655301:TBG655301 TKX655301:TLC655301 TUT655301:TUY655301 UEP655301:UEU655301 UOL655301:UOQ655301 UYH655301:UYM655301 VID655301:VII655301 VRZ655301:VSE655301 WBV655301:WCA655301 WLR655301:WLW655301 WVN655301:WVS655301 F720837:K720837 JB720837:JG720837 SX720837:TC720837 ACT720837:ACY720837 AMP720837:AMU720837 AWL720837:AWQ720837 BGH720837:BGM720837 BQD720837:BQI720837 BZZ720837:CAE720837 CJV720837:CKA720837 CTR720837:CTW720837 DDN720837:DDS720837 DNJ720837:DNO720837 DXF720837:DXK720837 EHB720837:EHG720837 EQX720837:ERC720837 FAT720837:FAY720837 FKP720837:FKU720837 FUL720837:FUQ720837 GEH720837:GEM720837 GOD720837:GOI720837 GXZ720837:GYE720837 HHV720837:HIA720837 HRR720837:HRW720837 IBN720837:IBS720837 ILJ720837:ILO720837 IVF720837:IVK720837 JFB720837:JFG720837 JOX720837:JPC720837 JYT720837:JYY720837 KIP720837:KIU720837 KSL720837:KSQ720837 LCH720837:LCM720837 LMD720837:LMI720837 LVZ720837:LWE720837 MFV720837:MGA720837 MPR720837:MPW720837 MZN720837:MZS720837 NJJ720837:NJO720837 NTF720837:NTK720837 ODB720837:ODG720837 OMX720837:ONC720837 OWT720837:OWY720837 PGP720837:PGU720837 PQL720837:PQQ720837 QAH720837:QAM720837 QKD720837:QKI720837 QTZ720837:QUE720837 RDV720837:REA720837 RNR720837:RNW720837 RXN720837:RXS720837 SHJ720837:SHO720837 SRF720837:SRK720837 TBB720837:TBG720837 TKX720837:TLC720837 TUT720837:TUY720837 UEP720837:UEU720837 UOL720837:UOQ720837 UYH720837:UYM720837 VID720837:VII720837 VRZ720837:VSE720837 WBV720837:WCA720837 WLR720837:WLW720837 WVN720837:WVS720837 F786373:K786373 JB786373:JG786373 SX786373:TC786373 ACT786373:ACY786373 AMP786373:AMU786373 AWL786373:AWQ786373 BGH786373:BGM786373 BQD786373:BQI786373 BZZ786373:CAE786373 CJV786373:CKA786373 CTR786373:CTW786373 DDN786373:DDS786373 DNJ786373:DNO786373 DXF786373:DXK786373 EHB786373:EHG786373 EQX786373:ERC786373 FAT786373:FAY786373 FKP786373:FKU786373 FUL786373:FUQ786373 GEH786373:GEM786373 GOD786373:GOI786373 GXZ786373:GYE786373 HHV786373:HIA786373 HRR786373:HRW786373 IBN786373:IBS786373 ILJ786373:ILO786373 IVF786373:IVK786373 JFB786373:JFG786373 JOX786373:JPC786373 JYT786373:JYY786373 KIP786373:KIU786373 KSL786373:KSQ786373 LCH786373:LCM786373 LMD786373:LMI786373 LVZ786373:LWE786373 MFV786373:MGA786373 MPR786373:MPW786373 MZN786373:MZS786373 NJJ786373:NJO786373 NTF786373:NTK786373 ODB786373:ODG786373 OMX786373:ONC786373 OWT786373:OWY786373 PGP786373:PGU786373 PQL786373:PQQ786373 QAH786373:QAM786373 QKD786373:QKI786373 QTZ786373:QUE786373 RDV786373:REA786373 RNR786373:RNW786373 RXN786373:RXS786373 SHJ786373:SHO786373 SRF786373:SRK786373 TBB786373:TBG786373 TKX786373:TLC786373 TUT786373:TUY786373 UEP786373:UEU786373 UOL786373:UOQ786373 UYH786373:UYM786373 VID786373:VII786373 VRZ786373:VSE786373 WBV786373:WCA786373 WLR786373:WLW786373 WVN786373:WVS786373 F851909:K851909 JB851909:JG851909 SX851909:TC851909 ACT851909:ACY851909 AMP851909:AMU851909 AWL851909:AWQ851909 BGH851909:BGM851909 BQD851909:BQI851909 BZZ851909:CAE851909 CJV851909:CKA851909 CTR851909:CTW851909 DDN851909:DDS851909 DNJ851909:DNO851909 DXF851909:DXK851909 EHB851909:EHG851909 EQX851909:ERC851909 FAT851909:FAY851909 FKP851909:FKU851909 FUL851909:FUQ851909 GEH851909:GEM851909 GOD851909:GOI851909 GXZ851909:GYE851909 HHV851909:HIA851909 HRR851909:HRW851909 IBN851909:IBS851909 ILJ851909:ILO851909 IVF851909:IVK851909 JFB851909:JFG851909 JOX851909:JPC851909 JYT851909:JYY851909 KIP851909:KIU851909 KSL851909:KSQ851909 LCH851909:LCM851909 LMD851909:LMI851909 LVZ851909:LWE851909 MFV851909:MGA851909 MPR851909:MPW851909 MZN851909:MZS851909 NJJ851909:NJO851909 NTF851909:NTK851909 ODB851909:ODG851909 OMX851909:ONC851909 OWT851909:OWY851909 PGP851909:PGU851909 PQL851909:PQQ851909 QAH851909:QAM851909 QKD851909:QKI851909 QTZ851909:QUE851909 RDV851909:REA851909 RNR851909:RNW851909 RXN851909:RXS851909 SHJ851909:SHO851909 SRF851909:SRK851909 TBB851909:TBG851909 TKX851909:TLC851909 TUT851909:TUY851909 UEP851909:UEU851909 UOL851909:UOQ851909 UYH851909:UYM851909 VID851909:VII851909 VRZ851909:VSE851909 WBV851909:WCA851909 WLR851909:WLW851909 WVN851909:WVS851909 F917445:K917445 JB917445:JG917445 SX917445:TC917445 ACT917445:ACY917445 AMP917445:AMU917445 AWL917445:AWQ917445 BGH917445:BGM917445 BQD917445:BQI917445 BZZ917445:CAE917445 CJV917445:CKA917445 CTR917445:CTW917445 DDN917445:DDS917445 DNJ917445:DNO917445 DXF917445:DXK917445 EHB917445:EHG917445 EQX917445:ERC917445 FAT917445:FAY917445 FKP917445:FKU917445 FUL917445:FUQ917445 GEH917445:GEM917445 GOD917445:GOI917445 GXZ917445:GYE917445 HHV917445:HIA917445 HRR917445:HRW917445 IBN917445:IBS917445 ILJ917445:ILO917445 IVF917445:IVK917445 JFB917445:JFG917445 JOX917445:JPC917445 JYT917445:JYY917445 KIP917445:KIU917445 KSL917445:KSQ917445 LCH917445:LCM917445 LMD917445:LMI917445 LVZ917445:LWE917445 MFV917445:MGA917445 MPR917445:MPW917445 MZN917445:MZS917445 NJJ917445:NJO917445 NTF917445:NTK917445 ODB917445:ODG917445 OMX917445:ONC917445 OWT917445:OWY917445 PGP917445:PGU917445 PQL917445:PQQ917445 QAH917445:QAM917445 QKD917445:QKI917445 QTZ917445:QUE917445 RDV917445:REA917445 RNR917445:RNW917445 RXN917445:RXS917445 SHJ917445:SHO917445 SRF917445:SRK917445 TBB917445:TBG917445 TKX917445:TLC917445 TUT917445:TUY917445 UEP917445:UEU917445 UOL917445:UOQ917445 UYH917445:UYM917445 VID917445:VII917445 VRZ917445:VSE917445 WBV917445:WCA917445 WLR917445:WLW917445 WVN917445:WVS917445 F982981:K982981 JB982981:JG982981 SX982981:TC982981 ACT982981:ACY982981 AMP982981:AMU982981 AWL982981:AWQ982981 BGH982981:BGM982981 BQD982981:BQI982981 BZZ982981:CAE982981 CJV982981:CKA982981 CTR982981:CTW982981 DDN982981:DDS982981 DNJ982981:DNO982981 DXF982981:DXK982981 EHB982981:EHG982981 EQX982981:ERC982981 FAT982981:FAY982981 FKP982981:FKU982981 FUL982981:FUQ982981 GEH982981:GEM982981 GOD982981:GOI982981 GXZ982981:GYE982981 HHV982981:HIA982981 HRR982981:HRW982981 IBN982981:IBS982981 ILJ982981:ILO982981 IVF982981:IVK982981 JFB982981:JFG982981 JOX982981:JPC982981 JYT982981:JYY982981 KIP982981:KIU982981 KSL982981:KSQ982981 LCH982981:LCM982981 LMD982981:LMI982981 LVZ982981:LWE982981 MFV982981:MGA982981 MPR982981:MPW982981 MZN982981:MZS982981 NJJ982981:NJO982981 NTF982981:NTK982981 ODB982981:ODG982981 OMX982981:ONC982981 OWT982981:OWY982981 PGP982981:PGU982981 PQL982981:PQQ982981 QAH982981:QAM982981 QKD982981:QKI982981 QTZ982981:QUE982981 RDV982981:REA982981 RNR982981:RNW982981 RXN982981:RXS982981 SHJ982981:SHO982981 SRF982981:SRK982981 TBB982981:TBG982981 TKX982981:TLC982981 TUT982981:TUY982981 UEP982981:UEU982981 UOL982981:UOQ982981 UYH982981:UYM982981 VID982981:VII982981 VRZ982981:VSE982981 WBV982981:WCA982981 WLR982981:WLW982981 WVN982981:WVS982981">
      <formula1>$Q$3:$Q$8</formula1>
    </dataValidation>
    <dataValidation type="list" allowBlank="1" showInputMessage="1" showErrorMessage="1" sqref="WVJ982990:WVJ982995 B17:B22 IX17:IX20 ST17:ST20 ACP17:ACP20 AML17:AML20 AWH17:AWH20 BGD17:BGD20 BPZ17:BPZ20 BZV17:BZV20 CJR17:CJR20 CTN17:CTN20 DDJ17:DDJ20 DNF17:DNF20 DXB17:DXB20 EGX17:EGX20 EQT17:EQT20 FAP17:FAP20 FKL17:FKL20 FUH17:FUH20 GED17:GED20 GNZ17:GNZ20 GXV17:GXV20 HHR17:HHR20 HRN17:HRN20 IBJ17:IBJ20 ILF17:ILF20 IVB17:IVB20 JEX17:JEX20 JOT17:JOT20 JYP17:JYP20 KIL17:KIL20 KSH17:KSH20 LCD17:LCD20 LLZ17:LLZ20 LVV17:LVV20 MFR17:MFR20 MPN17:MPN20 MZJ17:MZJ20 NJF17:NJF20 NTB17:NTB20 OCX17:OCX20 OMT17:OMT20 OWP17:OWP20 PGL17:PGL20 PQH17:PQH20 QAD17:QAD20 QJZ17:QJZ20 QTV17:QTV20 RDR17:RDR20 RNN17:RNN20 RXJ17:RXJ20 SHF17:SHF20 SRB17:SRB20 TAX17:TAX20 TKT17:TKT20 TUP17:TUP20 UEL17:UEL20 UOH17:UOH20 UYD17:UYD20 VHZ17:VHZ20 VRV17:VRV20 WBR17:WBR20 WLN17:WLN20 WVJ17:WVJ20 B65486:B65491 IX65486:IX65491 ST65486:ST65491 ACP65486:ACP65491 AML65486:AML65491 AWH65486:AWH65491 BGD65486:BGD65491 BPZ65486:BPZ65491 BZV65486:BZV65491 CJR65486:CJR65491 CTN65486:CTN65491 DDJ65486:DDJ65491 DNF65486:DNF65491 DXB65486:DXB65491 EGX65486:EGX65491 EQT65486:EQT65491 FAP65486:FAP65491 FKL65486:FKL65491 FUH65486:FUH65491 GED65486:GED65491 GNZ65486:GNZ65491 GXV65486:GXV65491 HHR65486:HHR65491 HRN65486:HRN65491 IBJ65486:IBJ65491 ILF65486:ILF65491 IVB65486:IVB65491 JEX65486:JEX65491 JOT65486:JOT65491 JYP65486:JYP65491 KIL65486:KIL65491 KSH65486:KSH65491 LCD65486:LCD65491 LLZ65486:LLZ65491 LVV65486:LVV65491 MFR65486:MFR65491 MPN65486:MPN65491 MZJ65486:MZJ65491 NJF65486:NJF65491 NTB65486:NTB65491 OCX65486:OCX65491 OMT65486:OMT65491 OWP65486:OWP65491 PGL65486:PGL65491 PQH65486:PQH65491 QAD65486:QAD65491 QJZ65486:QJZ65491 QTV65486:QTV65491 RDR65486:RDR65491 RNN65486:RNN65491 RXJ65486:RXJ65491 SHF65486:SHF65491 SRB65486:SRB65491 TAX65486:TAX65491 TKT65486:TKT65491 TUP65486:TUP65491 UEL65486:UEL65491 UOH65486:UOH65491 UYD65486:UYD65491 VHZ65486:VHZ65491 VRV65486:VRV65491 WBR65486:WBR65491 WLN65486:WLN65491 WVJ65486:WVJ65491 B131022:B131027 IX131022:IX131027 ST131022:ST131027 ACP131022:ACP131027 AML131022:AML131027 AWH131022:AWH131027 BGD131022:BGD131027 BPZ131022:BPZ131027 BZV131022:BZV131027 CJR131022:CJR131027 CTN131022:CTN131027 DDJ131022:DDJ131027 DNF131022:DNF131027 DXB131022:DXB131027 EGX131022:EGX131027 EQT131022:EQT131027 FAP131022:FAP131027 FKL131022:FKL131027 FUH131022:FUH131027 GED131022:GED131027 GNZ131022:GNZ131027 GXV131022:GXV131027 HHR131022:HHR131027 HRN131022:HRN131027 IBJ131022:IBJ131027 ILF131022:ILF131027 IVB131022:IVB131027 JEX131022:JEX131027 JOT131022:JOT131027 JYP131022:JYP131027 KIL131022:KIL131027 KSH131022:KSH131027 LCD131022:LCD131027 LLZ131022:LLZ131027 LVV131022:LVV131027 MFR131022:MFR131027 MPN131022:MPN131027 MZJ131022:MZJ131027 NJF131022:NJF131027 NTB131022:NTB131027 OCX131022:OCX131027 OMT131022:OMT131027 OWP131022:OWP131027 PGL131022:PGL131027 PQH131022:PQH131027 QAD131022:QAD131027 QJZ131022:QJZ131027 QTV131022:QTV131027 RDR131022:RDR131027 RNN131022:RNN131027 RXJ131022:RXJ131027 SHF131022:SHF131027 SRB131022:SRB131027 TAX131022:TAX131027 TKT131022:TKT131027 TUP131022:TUP131027 UEL131022:UEL131027 UOH131022:UOH131027 UYD131022:UYD131027 VHZ131022:VHZ131027 VRV131022:VRV131027 WBR131022:WBR131027 WLN131022:WLN131027 WVJ131022:WVJ131027 B196558:B196563 IX196558:IX196563 ST196558:ST196563 ACP196558:ACP196563 AML196558:AML196563 AWH196558:AWH196563 BGD196558:BGD196563 BPZ196558:BPZ196563 BZV196558:BZV196563 CJR196558:CJR196563 CTN196558:CTN196563 DDJ196558:DDJ196563 DNF196558:DNF196563 DXB196558:DXB196563 EGX196558:EGX196563 EQT196558:EQT196563 FAP196558:FAP196563 FKL196558:FKL196563 FUH196558:FUH196563 GED196558:GED196563 GNZ196558:GNZ196563 GXV196558:GXV196563 HHR196558:HHR196563 HRN196558:HRN196563 IBJ196558:IBJ196563 ILF196558:ILF196563 IVB196558:IVB196563 JEX196558:JEX196563 JOT196558:JOT196563 JYP196558:JYP196563 KIL196558:KIL196563 KSH196558:KSH196563 LCD196558:LCD196563 LLZ196558:LLZ196563 LVV196558:LVV196563 MFR196558:MFR196563 MPN196558:MPN196563 MZJ196558:MZJ196563 NJF196558:NJF196563 NTB196558:NTB196563 OCX196558:OCX196563 OMT196558:OMT196563 OWP196558:OWP196563 PGL196558:PGL196563 PQH196558:PQH196563 QAD196558:QAD196563 QJZ196558:QJZ196563 QTV196558:QTV196563 RDR196558:RDR196563 RNN196558:RNN196563 RXJ196558:RXJ196563 SHF196558:SHF196563 SRB196558:SRB196563 TAX196558:TAX196563 TKT196558:TKT196563 TUP196558:TUP196563 UEL196558:UEL196563 UOH196558:UOH196563 UYD196558:UYD196563 VHZ196558:VHZ196563 VRV196558:VRV196563 WBR196558:WBR196563 WLN196558:WLN196563 WVJ196558:WVJ196563 B262094:B262099 IX262094:IX262099 ST262094:ST262099 ACP262094:ACP262099 AML262094:AML262099 AWH262094:AWH262099 BGD262094:BGD262099 BPZ262094:BPZ262099 BZV262094:BZV262099 CJR262094:CJR262099 CTN262094:CTN262099 DDJ262094:DDJ262099 DNF262094:DNF262099 DXB262094:DXB262099 EGX262094:EGX262099 EQT262094:EQT262099 FAP262094:FAP262099 FKL262094:FKL262099 FUH262094:FUH262099 GED262094:GED262099 GNZ262094:GNZ262099 GXV262094:GXV262099 HHR262094:HHR262099 HRN262094:HRN262099 IBJ262094:IBJ262099 ILF262094:ILF262099 IVB262094:IVB262099 JEX262094:JEX262099 JOT262094:JOT262099 JYP262094:JYP262099 KIL262094:KIL262099 KSH262094:KSH262099 LCD262094:LCD262099 LLZ262094:LLZ262099 LVV262094:LVV262099 MFR262094:MFR262099 MPN262094:MPN262099 MZJ262094:MZJ262099 NJF262094:NJF262099 NTB262094:NTB262099 OCX262094:OCX262099 OMT262094:OMT262099 OWP262094:OWP262099 PGL262094:PGL262099 PQH262094:PQH262099 QAD262094:QAD262099 QJZ262094:QJZ262099 QTV262094:QTV262099 RDR262094:RDR262099 RNN262094:RNN262099 RXJ262094:RXJ262099 SHF262094:SHF262099 SRB262094:SRB262099 TAX262094:TAX262099 TKT262094:TKT262099 TUP262094:TUP262099 UEL262094:UEL262099 UOH262094:UOH262099 UYD262094:UYD262099 VHZ262094:VHZ262099 VRV262094:VRV262099 WBR262094:WBR262099 WLN262094:WLN262099 WVJ262094:WVJ262099 B327630:B327635 IX327630:IX327635 ST327630:ST327635 ACP327630:ACP327635 AML327630:AML327635 AWH327630:AWH327635 BGD327630:BGD327635 BPZ327630:BPZ327635 BZV327630:BZV327635 CJR327630:CJR327635 CTN327630:CTN327635 DDJ327630:DDJ327635 DNF327630:DNF327635 DXB327630:DXB327635 EGX327630:EGX327635 EQT327630:EQT327635 FAP327630:FAP327635 FKL327630:FKL327635 FUH327630:FUH327635 GED327630:GED327635 GNZ327630:GNZ327635 GXV327630:GXV327635 HHR327630:HHR327635 HRN327630:HRN327635 IBJ327630:IBJ327635 ILF327630:ILF327635 IVB327630:IVB327635 JEX327630:JEX327635 JOT327630:JOT327635 JYP327630:JYP327635 KIL327630:KIL327635 KSH327630:KSH327635 LCD327630:LCD327635 LLZ327630:LLZ327635 LVV327630:LVV327635 MFR327630:MFR327635 MPN327630:MPN327635 MZJ327630:MZJ327635 NJF327630:NJF327635 NTB327630:NTB327635 OCX327630:OCX327635 OMT327630:OMT327635 OWP327630:OWP327635 PGL327630:PGL327635 PQH327630:PQH327635 QAD327630:QAD327635 QJZ327630:QJZ327635 QTV327630:QTV327635 RDR327630:RDR327635 RNN327630:RNN327635 RXJ327630:RXJ327635 SHF327630:SHF327635 SRB327630:SRB327635 TAX327630:TAX327635 TKT327630:TKT327635 TUP327630:TUP327635 UEL327630:UEL327635 UOH327630:UOH327635 UYD327630:UYD327635 VHZ327630:VHZ327635 VRV327630:VRV327635 WBR327630:WBR327635 WLN327630:WLN327635 WVJ327630:WVJ327635 B393166:B393171 IX393166:IX393171 ST393166:ST393171 ACP393166:ACP393171 AML393166:AML393171 AWH393166:AWH393171 BGD393166:BGD393171 BPZ393166:BPZ393171 BZV393166:BZV393171 CJR393166:CJR393171 CTN393166:CTN393171 DDJ393166:DDJ393171 DNF393166:DNF393171 DXB393166:DXB393171 EGX393166:EGX393171 EQT393166:EQT393171 FAP393166:FAP393171 FKL393166:FKL393171 FUH393166:FUH393171 GED393166:GED393171 GNZ393166:GNZ393171 GXV393166:GXV393171 HHR393166:HHR393171 HRN393166:HRN393171 IBJ393166:IBJ393171 ILF393166:ILF393171 IVB393166:IVB393171 JEX393166:JEX393171 JOT393166:JOT393171 JYP393166:JYP393171 KIL393166:KIL393171 KSH393166:KSH393171 LCD393166:LCD393171 LLZ393166:LLZ393171 LVV393166:LVV393171 MFR393166:MFR393171 MPN393166:MPN393171 MZJ393166:MZJ393171 NJF393166:NJF393171 NTB393166:NTB393171 OCX393166:OCX393171 OMT393166:OMT393171 OWP393166:OWP393171 PGL393166:PGL393171 PQH393166:PQH393171 QAD393166:QAD393171 QJZ393166:QJZ393171 QTV393166:QTV393171 RDR393166:RDR393171 RNN393166:RNN393171 RXJ393166:RXJ393171 SHF393166:SHF393171 SRB393166:SRB393171 TAX393166:TAX393171 TKT393166:TKT393171 TUP393166:TUP393171 UEL393166:UEL393171 UOH393166:UOH393171 UYD393166:UYD393171 VHZ393166:VHZ393171 VRV393166:VRV393171 WBR393166:WBR393171 WLN393166:WLN393171 WVJ393166:WVJ393171 B458702:B458707 IX458702:IX458707 ST458702:ST458707 ACP458702:ACP458707 AML458702:AML458707 AWH458702:AWH458707 BGD458702:BGD458707 BPZ458702:BPZ458707 BZV458702:BZV458707 CJR458702:CJR458707 CTN458702:CTN458707 DDJ458702:DDJ458707 DNF458702:DNF458707 DXB458702:DXB458707 EGX458702:EGX458707 EQT458702:EQT458707 FAP458702:FAP458707 FKL458702:FKL458707 FUH458702:FUH458707 GED458702:GED458707 GNZ458702:GNZ458707 GXV458702:GXV458707 HHR458702:HHR458707 HRN458702:HRN458707 IBJ458702:IBJ458707 ILF458702:ILF458707 IVB458702:IVB458707 JEX458702:JEX458707 JOT458702:JOT458707 JYP458702:JYP458707 KIL458702:KIL458707 KSH458702:KSH458707 LCD458702:LCD458707 LLZ458702:LLZ458707 LVV458702:LVV458707 MFR458702:MFR458707 MPN458702:MPN458707 MZJ458702:MZJ458707 NJF458702:NJF458707 NTB458702:NTB458707 OCX458702:OCX458707 OMT458702:OMT458707 OWP458702:OWP458707 PGL458702:PGL458707 PQH458702:PQH458707 QAD458702:QAD458707 QJZ458702:QJZ458707 QTV458702:QTV458707 RDR458702:RDR458707 RNN458702:RNN458707 RXJ458702:RXJ458707 SHF458702:SHF458707 SRB458702:SRB458707 TAX458702:TAX458707 TKT458702:TKT458707 TUP458702:TUP458707 UEL458702:UEL458707 UOH458702:UOH458707 UYD458702:UYD458707 VHZ458702:VHZ458707 VRV458702:VRV458707 WBR458702:WBR458707 WLN458702:WLN458707 WVJ458702:WVJ458707 B524238:B524243 IX524238:IX524243 ST524238:ST524243 ACP524238:ACP524243 AML524238:AML524243 AWH524238:AWH524243 BGD524238:BGD524243 BPZ524238:BPZ524243 BZV524238:BZV524243 CJR524238:CJR524243 CTN524238:CTN524243 DDJ524238:DDJ524243 DNF524238:DNF524243 DXB524238:DXB524243 EGX524238:EGX524243 EQT524238:EQT524243 FAP524238:FAP524243 FKL524238:FKL524243 FUH524238:FUH524243 GED524238:GED524243 GNZ524238:GNZ524243 GXV524238:GXV524243 HHR524238:HHR524243 HRN524238:HRN524243 IBJ524238:IBJ524243 ILF524238:ILF524243 IVB524238:IVB524243 JEX524238:JEX524243 JOT524238:JOT524243 JYP524238:JYP524243 KIL524238:KIL524243 KSH524238:KSH524243 LCD524238:LCD524243 LLZ524238:LLZ524243 LVV524238:LVV524243 MFR524238:MFR524243 MPN524238:MPN524243 MZJ524238:MZJ524243 NJF524238:NJF524243 NTB524238:NTB524243 OCX524238:OCX524243 OMT524238:OMT524243 OWP524238:OWP524243 PGL524238:PGL524243 PQH524238:PQH524243 QAD524238:QAD524243 QJZ524238:QJZ524243 QTV524238:QTV524243 RDR524238:RDR524243 RNN524238:RNN524243 RXJ524238:RXJ524243 SHF524238:SHF524243 SRB524238:SRB524243 TAX524238:TAX524243 TKT524238:TKT524243 TUP524238:TUP524243 UEL524238:UEL524243 UOH524238:UOH524243 UYD524238:UYD524243 VHZ524238:VHZ524243 VRV524238:VRV524243 WBR524238:WBR524243 WLN524238:WLN524243 WVJ524238:WVJ524243 B589774:B589779 IX589774:IX589779 ST589774:ST589779 ACP589774:ACP589779 AML589774:AML589779 AWH589774:AWH589779 BGD589774:BGD589779 BPZ589774:BPZ589779 BZV589774:BZV589779 CJR589774:CJR589779 CTN589774:CTN589779 DDJ589774:DDJ589779 DNF589774:DNF589779 DXB589774:DXB589779 EGX589774:EGX589779 EQT589774:EQT589779 FAP589774:FAP589779 FKL589774:FKL589779 FUH589774:FUH589779 GED589774:GED589779 GNZ589774:GNZ589779 GXV589774:GXV589779 HHR589774:HHR589779 HRN589774:HRN589779 IBJ589774:IBJ589779 ILF589774:ILF589779 IVB589774:IVB589779 JEX589774:JEX589779 JOT589774:JOT589779 JYP589774:JYP589779 KIL589774:KIL589779 KSH589774:KSH589779 LCD589774:LCD589779 LLZ589774:LLZ589779 LVV589774:LVV589779 MFR589774:MFR589779 MPN589774:MPN589779 MZJ589774:MZJ589779 NJF589774:NJF589779 NTB589774:NTB589779 OCX589774:OCX589779 OMT589774:OMT589779 OWP589774:OWP589779 PGL589774:PGL589779 PQH589774:PQH589779 QAD589774:QAD589779 QJZ589774:QJZ589779 QTV589774:QTV589779 RDR589774:RDR589779 RNN589774:RNN589779 RXJ589774:RXJ589779 SHF589774:SHF589779 SRB589774:SRB589779 TAX589774:TAX589779 TKT589774:TKT589779 TUP589774:TUP589779 UEL589774:UEL589779 UOH589774:UOH589779 UYD589774:UYD589779 VHZ589774:VHZ589779 VRV589774:VRV589779 WBR589774:WBR589779 WLN589774:WLN589779 WVJ589774:WVJ589779 B655310:B655315 IX655310:IX655315 ST655310:ST655315 ACP655310:ACP655315 AML655310:AML655315 AWH655310:AWH655315 BGD655310:BGD655315 BPZ655310:BPZ655315 BZV655310:BZV655315 CJR655310:CJR655315 CTN655310:CTN655315 DDJ655310:DDJ655315 DNF655310:DNF655315 DXB655310:DXB655315 EGX655310:EGX655315 EQT655310:EQT655315 FAP655310:FAP655315 FKL655310:FKL655315 FUH655310:FUH655315 GED655310:GED655315 GNZ655310:GNZ655315 GXV655310:GXV655315 HHR655310:HHR655315 HRN655310:HRN655315 IBJ655310:IBJ655315 ILF655310:ILF655315 IVB655310:IVB655315 JEX655310:JEX655315 JOT655310:JOT655315 JYP655310:JYP655315 KIL655310:KIL655315 KSH655310:KSH655315 LCD655310:LCD655315 LLZ655310:LLZ655315 LVV655310:LVV655315 MFR655310:MFR655315 MPN655310:MPN655315 MZJ655310:MZJ655315 NJF655310:NJF655315 NTB655310:NTB655315 OCX655310:OCX655315 OMT655310:OMT655315 OWP655310:OWP655315 PGL655310:PGL655315 PQH655310:PQH655315 QAD655310:QAD655315 QJZ655310:QJZ655315 QTV655310:QTV655315 RDR655310:RDR655315 RNN655310:RNN655315 RXJ655310:RXJ655315 SHF655310:SHF655315 SRB655310:SRB655315 TAX655310:TAX655315 TKT655310:TKT655315 TUP655310:TUP655315 UEL655310:UEL655315 UOH655310:UOH655315 UYD655310:UYD655315 VHZ655310:VHZ655315 VRV655310:VRV655315 WBR655310:WBR655315 WLN655310:WLN655315 WVJ655310:WVJ655315 B720846:B720851 IX720846:IX720851 ST720846:ST720851 ACP720846:ACP720851 AML720846:AML720851 AWH720846:AWH720851 BGD720846:BGD720851 BPZ720846:BPZ720851 BZV720846:BZV720851 CJR720846:CJR720851 CTN720846:CTN720851 DDJ720846:DDJ720851 DNF720846:DNF720851 DXB720846:DXB720851 EGX720846:EGX720851 EQT720846:EQT720851 FAP720846:FAP720851 FKL720846:FKL720851 FUH720846:FUH720851 GED720846:GED720851 GNZ720846:GNZ720851 GXV720846:GXV720851 HHR720846:HHR720851 HRN720846:HRN720851 IBJ720846:IBJ720851 ILF720846:ILF720851 IVB720846:IVB720851 JEX720846:JEX720851 JOT720846:JOT720851 JYP720846:JYP720851 KIL720846:KIL720851 KSH720846:KSH720851 LCD720846:LCD720851 LLZ720846:LLZ720851 LVV720846:LVV720851 MFR720846:MFR720851 MPN720846:MPN720851 MZJ720846:MZJ720851 NJF720846:NJF720851 NTB720846:NTB720851 OCX720846:OCX720851 OMT720846:OMT720851 OWP720846:OWP720851 PGL720846:PGL720851 PQH720846:PQH720851 QAD720846:QAD720851 QJZ720846:QJZ720851 QTV720846:QTV720851 RDR720846:RDR720851 RNN720846:RNN720851 RXJ720846:RXJ720851 SHF720846:SHF720851 SRB720846:SRB720851 TAX720846:TAX720851 TKT720846:TKT720851 TUP720846:TUP720851 UEL720846:UEL720851 UOH720846:UOH720851 UYD720846:UYD720851 VHZ720846:VHZ720851 VRV720846:VRV720851 WBR720846:WBR720851 WLN720846:WLN720851 WVJ720846:WVJ720851 B786382:B786387 IX786382:IX786387 ST786382:ST786387 ACP786382:ACP786387 AML786382:AML786387 AWH786382:AWH786387 BGD786382:BGD786387 BPZ786382:BPZ786387 BZV786382:BZV786387 CJR786382:CJR786387 CTN786382:CTN786387 DDJ786382:DDJ786387 DNF786382:DNF786387 DXB786382:DXB786387 EGX786382:EGX786387 EQT786382:EQT786387 FAP786382:FAP786387 FKL786382:FKL786387 FUH786382:FUH786387 GED786382:GED786387 GNZ786382:GNZ786387 GXV786382:GXV786387 HHR786382:HHR786387 HRN786382:HRN786387 IBJ786382:IBJ786387 ILF786382:ILF786387 IVB786382:IVB786387 JEX786382:JEX786387 JOT786382:JOT786387 JYP786382:JYP786387 KIL786382:KIL786387 KSH786382:KSH786387 LCD786382:LCD786387 LLZ786382:LLZ786387 LVV786382:LVV786387 MFR786382:MFR786387 MPN786382:MPN786387 MZJ786382:MZJ786387 NJF786382:NJF786387 NTB786382:NTB786387 OCX786382:OCX786387 OMT786382:OMT786387 OWP786382:OWP786387 PGL786382:PGL786387 PQH786382:PQH786387 QAD786382:QAD786387 QJZ786382:QJZ786387 QTV786382:QTV786387 RDR786382:RDR786387 RNN786382:RNN786387 RXJ786382:RXJ786387 SHF786382:SHF786387 SRB786382:SRB786387 TAX786382:TAX786387 TKT786382:TKT786387 TUP786382:TUP786387 UEL786382:UEL786387 UOH786382:UOH786387 UYD786382:UYD786387 VHZ786382:VHZ786387 VRV786382:VRV786387 WBR786382:WBR786387 WLN786382:WLN786387 WVJ786382:WVJ786387 B851918:B851923 IX851918:IX851923 ST851918:ST851923 ACP851918:ACP851923 AML851918:AML851923 AWH851918:AWH851923 BGD851918:BGD851923 BPZ851918:BPZ851923 BZV851918:BZV851923 CJR851918:CJR851923 CTN851918:CTN851923 DDJ851918:DDJ851923 DNF851918:DNF851923 DXB851918:DXB851923 EGX851918:EGX851923 EQT851918:EQT851923 FAP851918:FAP851923 FKL851918:FKL851923 FUH851918:FUH851923 GED851918:GED851923 GNZ851918:GNZ851923 GXV851918:GXV851923 HHR851918:HHR851923 HRN851918:HRN851923 IBJ851918:IBJ851923 ILF851918:ILF851923 IVB851918:IVB851923 JEX851918:JEX851923 JOT851918:JOT851923 JYP851918:JYP851923 KIL851918:KIL851923 KSH851918:KSH851923 LCD851918:LCD851923 LLZ851918:LLZ851923 LVV851918:LVV851923 MFR851918:MFR851923 MPN851918:MPN851923 MZJ851918:MZJ851923 NJF851918:NJF851923 NTB851918:NTB851923 OCX851918:OCX851923 OMT851918:OMT851923 OWP851918:OWP851923 PGL851918:PGL851923 PQH851918:PQH851923 QAD851918:QAD851923 QJZ851918:QJZ851923 QTV851918:QTV851923 RDR851918:RDR851923 RNN851918:RNN851923 RXJ851918:RXJ851923 SHF851918:SHF851923 SRB851918:SRB851923 TAX851918:TAX851923 TKT851918:TKT851923 TUP851918:TUP851923 UEL851918:UEL851923 UOH851918:UOH851923 UYD851918:UYD851923 VHZ851918:VHZ851923 VRV851918:VRV851923 WBR851918:WBR851923 WLN851918:WLN851923 WVJ851918:WVJ851923 B917454:B917459 IX917454:IX917459 ST917454:ST917459 ACP917454:ACP917459 AML917454:AML917459 AWH917454:AWH917459 BGD917454:BGD917459 BPZ917454:BPZ917459 BZV917454:BZV917459 CJR917454:CJR917459 CTN917454:CTN917459 DDJ917454:DDJ917459 DNF917454:DNF917459 DXB917454:DXB917459 EGX917454:EGX917459 EQT917454:EQT917459 FAP917454:FAP917459 FKL917454:FKL917459 FUH917454:FUH917459 GED917454:GED917459 GNZ917454:GNZ917459 GXV917454:GXV917459 HHR917454:HHR917459 HRN917454:HRN917459 IBJ917454:IBJ917459 ILF917454:ILF917459 IVB917454:IVB917459 JEX917454:JEX917459 JOT917454:JOT917459 JYP917454:JYP917459 KIL917454:KIL917459 KSH917454:KSH917459 LCD917454:LCD917459 LLZ917454:LLZ917459 LVV917454:LVV917459 MFR917454:MFR917459 MPN917454:MPN917459 MZJ917454:MZJ917459 NJF917454:NJF917459 NTB917454:NTB917459 OCX917454:OCX917459 OMT917454:OMT917459 OWP917454:OWP917459 PGL917454:PGL917459 PQH917454:PQH917459 QAD917454:QAD917459 QJZ917454:QJZ917459 QTV917454:QTV917459 RDR917454:RDR917459 RNN917454:RNN917459 RXJ917454:RXJ917459 SHF917454:SHF917459 SRB917454:SRB917459 TAX917454:TAX917459 TKT917454:TKT917459 TUP917454:TUP917459 UEL917454:UEL917459 UOH917454:UOH917459 UYD917454:UYD917459 VHZ917454:VHZ917459 VRV917454:VRV917459 WBR917454:WBR917459 WLN917454:WLN917459 WVJ917454:WVJ917459 B982990:B982995 IX982990:IX982995 ST982990:ST982995 ACP982990:ACP982995 AML982990:AML982995 AWH982990:AWH982995 BGD982990:BGD982995 BPZ982990:BPZ982995 BZV982990:BZV982995 CJR982990:CJR982995 CTN982990:CTN982995 DDJ982990:DDJ982995 DNF982990:DNF982995 DXB982990:DXB982995 EGX982990:EGX982995 EQT982990:EQT982995 FAP982990:FAP982995 FKL982990:FKL982995 FUH982990:FUH982995 GED982990:GED982995 GNZ982990:GNZ982995 GXV982990:GXV982995 HHR982990:HHR982995 HRN982990:HRN982995 IBJ982990:IBJ982995 ILF982990:ILF982995 IVB982990:IVB982995 JEX982990:JEX982995 JOT982990:JOT982995 JYP982990:JYP982995 KIL982990:KIL982995 KSH982990:KSH982995 LCD982990:LCD982995 LLZ982990:LLZ982995 LVV982990:LVV982995 MFR982990:MFR982995 MPN982990:MPN982995 MZJ982990:MZJ982995 NJF982990:NJF982995 NTB982990:NTB982995 OCX982990:OCX982995 OMT982990:OMT982995 OWP982990:OWP982995 PGL982990:PGL982995 PQH982990:PQH982995 QAD982990:QAD982995 QJZ982990:QJZ982995 QTV982990:QTV982995 RDR982990:RDR982995 RNN982990:RNN982995 RXJ982990:RXJ982995 SHF982990:SHF982995 SRB982990:SRB982995 TAX982990:TAX982995 TKT982990:TKT982995 TUP982990:TUP982995 UEL982990:UEL982995 UOH982990:UOH982995 UYD982990:UYD982995 VHZ982990:VHZ982995 VRV982990:VRV982995 WBR982990:WBR982995 WLN982990:WLN982995">
      <formula1>$R$18</formula1>
    </dataValidation>
    <dataValidation type="list" allowBlank="1" showInputMessage="1" showErrorMessage="1" sqref="B26:B28 IX26:IX28 ST26:ST28 ACP26:ACP28 AML26:AML28 AWH26:AWH28 BGD26:BGD28 BPZ26:BPZ28 BZV26:BZV28 CJR26:CJR28 CTN26:CTN28 DDJ26:DDJ28 DNF26:DNF28 DXB26:DXB28 EGX26:EGX28 EQT26:EQT28 FAP26:FAP28 FKL26:FKL28 FUH26:FUH28 GED26:GED28 GNZ26:GNZ28 GXV26:GXV28 HHR26:HHR28 HRN26:HRN28 IBJ26:IBJ28 ILF26:ILF28 IVB26:IVB28 JEX26:JEX28 JOT26:JOT28 JYP26:JYP28 KIL26:KIL28 KSH26:KSH28 LCD26:LCD28 LLZ26:LLZ28 LVV26:LVV28 MFR26:MFR28 MPN26:MPN28 MZJ26:MZJ28 NJF26:NJF28 NTB26:NTB28 OCX26:OCX28 OMT26:OMT28 OWP26:OWP28 PGL26:PGL28 PQH26:PQH28 QAD26:QAD28 QJZ26:QJZ28 QTV26:QTV28 RDR26:RDR28 RNN26:RNN28 RXJ26:RXJ28 SHF26:SHF28 SRB26:SRB28 TAX26:TAX28 TKT26:TKT28 TUP26:TUP28 UEL26:UEL28 UOH26:UOH28 UYD26:UYD28 VHZ26:VHZ28 VRV26:VRV28 WBR26:WBR28 WLN26:WLN28 WVJ26:WVJ28 B65496:B65497 IX65496:IX65497 ST65496:ST65497 ACP65496:ACP65497 AML65496:AML65497 AWH65496:AWH65497 BGD65496:BGD65497 BPZ65496:BPZ65497 BZV65496:BZV65497 CJR65496:CJR65497 CTN65496:CTN65497 DDJ65496:DDJ65497 DNF65496:DNF65497 DXB65496:DXB65497 EGX65496:EGX65497 EQT65496:EQT65497 FAP65496:FAP65497 FKL65496:FKL65497 FUH65496:FUH65497 GED65496:GED65497 GNZ65496:GNZ65497 GXV65496:GXV65497 HHR65496:HHR65497 HRN65496:HRN65497 IBJ65496:IBJ65497 ILF65496:ILF65497 IVB65496:IVB65497 JEX65496:JEX65497 JOT65496:JOT65497 JYP65496:JYP65497 KIL65496:KIL65497 KSH65496:KSH65497 LCD65496:LCD65497 LLZ65496:LLZ65497 LVV65496:LVV65497 MFR65496:MFR65497 MPN65496:MPN65497 MZJ65496:MZJ65497 NJF65496:NJF65497 NTB65496:NTB65497 OCX65496:OCX65497 OMT65496:OMT65497 OWP65496:OWP65497 PGL65496:PGL65497 PQH65496:PQH65497 QAD65496:QAD65497 QJZ65496:QJZ65497 QTV65496:QTV65497 RDR65496:RDR65497 RNN65496:RNN65497 RXJ65496:RXJ65497 SHF65496:SHF65497 SRB65496:SRB65497 TAX65496:TAX65497 TKT65496:TKT65497 TUP65496:TUP65497 UEL65496:UEL65497 UOH65496:UOH65497 UYD65496:UYD65497 VHZ65496:VHZ65497 VRV65496:VRV65497 WBR65496:WBR65497 WLN65496:WLN65497 WVJ65496:WVJ65497 B131032:B131033 IX131032:IX131033 ST131032:ST131033 ACP131032:ACP131033 AML131032:AML131033 AWH131032:AWH131033 BGD131032:BGD131033 BPZ131032:BPZ131033 BZV131032:BZV131033 CJR131032:CJR131033 CTN131032:CTN131033 DDJ131032:DDJ131033 DNF131032:DNF131033 DXB131032:DXB131033 EGX131032:EGX131033 EQT131032:EQT131033 FAP131032:FAP131033 FKL131032:FKL131033 FUH131032:FUH131033 GED131032:GED131033 GNZ131032:GNZ131033 GXV131032:GXV131033 HHR131032:HHR131033 HRN131032:HRN131033 IBJ131032:IBJ131033 ILF131032:ILF131033 IVB131032:IVB131033 JEX131032:JEX131033 JOT131032:JOT131033 JYP131032:JYP131033 KIL131032:KIL131033 KSH131032:KSH131033 LCD131032:LCD131033 LLZ131032:LLZ131033 LVV131032:LVV131033 MFR131032:MFR131033 MPN131032:MPN131033 MZJ131032:MZJ131033 NJF131032:NJF131033 NTB131032:NTB131033 OCX131032:OCX131033 OMT131032:OMT131033 OWP131032:OWP131033 PGL131032:PGL131033 PQH131032:PQH131033 QAD131032:QAD131033 QJZ131032:QJZ131033 QTV131032:QTV131033 RDR131032:RDR131033 RNN131032:RNN131033 RXJ131032:RXJ131033 SHF131032:SHF131033 SRB131032:SRB131033 TAX131032:TAX131033 TKT131032:TKT131033 TUP131032:TUP131033 UEL131032:UEL131033 UOH131032:UOH131033 UYD131032:UYD131033 VHZ131032:VHZ131033 VRV131032:VRV131033 WBR131032:WBR131033 WLN131032:WLN131033 WVJ131032:WVJ131033 B196568:B196569 IX196568:IX196569 ST196568:ST196569 ACP196568:ACP196569 AML196568:AML196569 AWH196568:AWH196569 BGD196568:BGD196569 BPZ196568:BPZ196569 BZV196568:BZV196569 CJR196568:CJR196569 CTN196568:CTN196569 DDJ196568:DDJ196569 DNF196568:DNF196569 DXB196568:DXB196569 EGX196568:EGX196569 EQT196568:EQT196569 FAP196568:FAP196569 FKL196568:FKL196569 FUH196568:FUH196569 GED196568:GED196569 GNZ196568:GNZ196569 GXV196568:GXV196569 HHR196568:HHR196569 HRN196568:HRN196569 IBJ196568:IBJ196569 ILF196568:ILF196569 IVB196568:IVB196569 JEX196568:JEX196569 JOT196568:JOT196569 JYP196568:JYP196569 KIL196568:KIL196569 KSH196568:KSH196569 LCD196568:LCD196569 LLZ196568:LLZ196569 LVV196568:LVV196569 MFR196568:MFR196569 MPN196568:MPN196569 MZJ196568:MZJ196569 NJF196568:NJF196569 NTB196568:NTB196569 OCX196568:OCX196569 OMT196568:OMT196569 OWP196568:OWP196569 PGL196568:PGL196569 PQH196568:PQH196569 QAD196568:QAD196569 QJZ196568:QJZ196569 QTV196568:QTV196569 RDR196568:RDR196569 RNN196568:RNN196569 RXJ196568:RXJ196569 SHF196568:SHF196569 SRB196568:SRB196569 TAX196568:TAX196569 TKT196568:TKT196569 TUP196568:TUP196569 UEL196568:UEL196569 UOH196568:UOH196569 UYD196568:UYD196569 VHZ196568:VHZ196569 VRV196568:VRV196569 WBR196568:WBR196569 WLN196568:WLN196569 WVJ196568:WVJ196569 B262104:B262105 IX262104:IX262105 ST262104:ST262105 ACP262104:ACP262105 AML262104:AML262105 AWH262104:AWH262105 BGD262104:BGD262105 BPZ262104:BPZ262105 BZV262104:BZV262105 CJR262104:CJR262105 CTN262104:CTN262105 DDJ262104:DDJ262105 DNF262104:DNF262105 DXB262104:DXB262105 EGX262104:EGX262105 EQT262104:EQT262105 FAP262104:FAP262105 FKL262104:FKL262105 FUH262104:FUH262105 GED262104:GED262105 GNZ262104:GNZ262105 GXV262104:GXV262105 HHR262104:HHR262105 HRN262104:HRN262105 IBJ262104:IBJ262105 ILF262104:ILF262105 IVB262104:IVB262105 JEX262104:JEX262105 JOT262104:JOT262105 JYP262104:JYP262105 KIL262104:KIL262105 KSH262104:KSH262105 LCD262104:LCD262105 LLZ262104:LLZ262105 LVV262104:LVV262105 MFR262104:MFR262105 MPN262104:MPN262105 MZJ262104:MZJ262105 NJF262104:NJF262105 NTB262104:NTB262105 OCX262104:OCX262105 OMT262104:OMT262105 OWP262104:OWP262105 PGL262104:PGL262105 PQH262104:PQH262105 QAD262104:QAD262105 QJZ262104:QJZ262105 QTV262104:QTV262105 RDR262104:RDR262105 RNN262104:RNN262105 RXJ262104:RXJ262105 SHF262104:SHF262105 SRB262104:SRB262105 TAX262104:TAX262105 TKT262104:TKT262105 TUP262104:TUP262105 UEL262104:UEL262105 UOH262104:UOH262105 UYD262104:UYD262105 VHZ262104:VHZ262105 VRV262104:VRV262105 WBR262104:WBR262105 WLN262104:WLN262105 WVJ262104:WVJ262105 B327640:B327641 IX327640:IX327641 ST327640:ST327641 ACP327640:ACP327641 AML327640:AML327641 AWH327640:AWH327641 BGD327640:BGD327641 BPZ327640:BPZ327641 BZV327640:BZV327641 CJR327640:CJR327641 CTN327640:CTN327641 DDJ327640:DDJ327641 DNF327640:DNF327641 DXB327640:DXB327641 EGX327640:EGX327641 EQT327640:EQT327641 FAP327640:FAP327641 FKL327640:FKL327641 FUH327640:FUH327641 GED327640:GED327641 GNZ327640:GNZ327641 GXV327640:GXV327641 HHR327640:HHR327641 HRN327640:HRN327641 IBJ327640:IBJ327641 ILF327640:ILF327641 IVB327640:IVB327641 JEX327640:JEX327641 JOT327640:JOT327641 JYP327640:JYP327641 KIL327640:KIL327641 KSH327640:KSH327641 LCD327640:LCD327641 LLZ327640:LLZ327641 LVV327640:LVV327641 MFR327640:MFR327641 MPN327640:MPN327641 MZJ327640:MZJ327641 NJF327640:NJF327641 NTB327640:NTB327641 OCX327640:OCX327641 OMT327640:OMT327641 OWP327640:OWP327641 PGL327640:PGL327641 PQH327640:PQH327641 QAD327640:QAD327641 QJZ327640:QJZ327641 QTV327640:QTV327641 RDR327640:RDR327641 RNN327640:RNN327641 RXJ327640:RXJ327641 SHF327640:SHF327641 SRB327640:SRB327641 TAX327640:TAX327641 TKT327640:TKT327641 TUP327640:TUP327641 UEL327640:UEL327641 UOH327640:UOH327641 UYD327640:UYD327641 VHZ327640:VHZ327641 VRV327640:VRV327641 WBR327640:WBR327641 WLN327640:WLN327641 WVJ327640:WVJ327641 B393176:B393177 IX393176:IX393177 ST393176:ST393177 ACP393176:ACP393177 AML393176:AML393177 AWH393176:AWH393177 BGD393176:BGD393177 BPZ393176:BPZ393177 BZV393176:BZV393177 CJR393176:CJR393177 CTN393176:CTN393177 DDJ393176:DDJ393177 DNF393176:DNF393177 DXB393176:DXB393177 EGX393176:EGX393177 EQT393176:EQT393177 FAP393176:FAP393177 FKL393176:FKL393177 FUH393176:FUH393177 GED393176:GED393177 GNZ393176:GNZ393177 GXV393176:GXV393177 HHR393176:HHR393177 HRN393176:HRN393177 IBJ393176:IBJ393177 ILF393176:ILF393177 IVB393176:IVB393177 JEX393176:JEX393177 JOT393176:JOT393177 JYP393176:JYP393177 KIL393176:KIL393177 KSH393176:KSH393177 LCD393176:LCD393177 LLZ393176:LLZ393177 LVV393176:LVV393177 MFR393176:MFR393177 MPN393176:MPN393177 MZJ393176:MZJ393177 NJF393176:NJF393177 NTB393176:NTB393177 OCX393176:OCX393177 OMT393176:OMT393177 OWP393176:OWP393177 PGL393176:PGL393177 PQH393176:PQH393177 QAD393176:QAD393177 QJZ393176:QJZ393177 QTV393176:QTV393177 RDR393176:RDR393177 RNN393176:RNN393177 RXJ393176:RXJ393177 SHF393176:SHF393177 SRB393176:SRB393177 TAX393176:TAX393177 TKT393176:TKT393177 TUP393176:TUP393177 UEL393176:UEL393177 UOH393176:UOH393177 UYD393176:UYD393177 VHZ393176:VHZ393177 VRV393176:VRV393177 WBR393176:WBR393177 WLN393176:WLN393177 WVJ393176:WVJ393177 B458712:B458713 IX458712:IX458713 ST458712:ST458713 ACP458712:ACP458713 AML458712:AML458713 AWH458712:AWH458713 BGD458712:BGD458713 BPZ458712:BPZ458713 BZV458712:BZV458713 CJR458712:CJR458713 CTN458712:CTN458713 DDJ458712:DDJ458713 DNF458712:DNF458713 DXB458712:DXB458713 EGX458712:EGX458713 EQT458712:EQT458713 FAP458712:FAP458713 FKL458712:FKL458713 FUH458712:FUH458713 GED458712:GED458713 GNZ458712:GNZ458713 GXV458712:GXV458713 HHR458712:HHR458713 HRN458712:HRN458713 IBJ458712:IBJ458713 ILF458712:ILF458713 IVB458712:IVB458713 JEX458712:JEX458713 JOT458712:JOT458713 JYP458712:JYP458713 KIL458712:KIL458713 KSH458712:KSH458713 LCD458712:LCD458713 LLZ458712:LLZ458713 LVV458712:LVV458713 MFR458712:MFR458713 MPN458712:MPN458713 MZJ458712:MZJ458713 NJF458712:NJF458713 NTB458712:NTB458713 OCX458712:OCX458713 OMT458712:OMT458713 OWP458712:OWP458713 PGL458712:PGL458713 PQH458712:PQH458713 QAD458712:QAD458713 QJZ458712:QJZ458713 QTV458712:QTV458713 RDR458712:RDR458713 RNN458712:RNN458713 RXJ458712:RXJ458713 SHF458712:SHF458713 SRB458712:SRB458713 TAX458712:TAX458713 TKT458712:TKT458713 TUP458712:TUP458713 UEL458712:UEL458713 UOH458712:UOH458713 UYD458712:UYD458713 VHZ458712:VHZ458713 VRV458712:VRV458713 WBR458712:WBR458713 WLN458712:WLN458713 WVJ458712:WVJ458713 B524248:B524249 IX524248:IX524249 ST524248:ST524249 ACP524248:ACP524249 AML524248:AML524249 AWH524248:AWH524249 BGD524248:BGD524249 BPZ524248:BPZ524249 BZV524248:BZV524249 CJR524248:CJR524249 CTN524248:CTN524249 DDJ524248:DDJ524249 DNF524248:DNF524249 DXB524248:DXB524249 EGX524248:EGX524249 EQT524248:EQT524249 FAP524248:FAP524249 FKL524248:FKL524249 FUH524248:FUH524249 GED524248:GED524249 GNZ524248:GNZ524249 GXV524248:GXV524249 HHR524248:HHR524249 HRN524248:HRN524249 IBJ524248:IBJ524249 ILF524248:ILF524249 IVB524248:IVB524249 JEX524248:JEX524249 JOT524248:JOT524249 JYP524248:JYP524249 KIL524248:KIL524249 KSH524248:KSH524249 LCD524248:LCD524249 LLZ524248:LLZ524249 LVV524248:LVV524249 MFR524248:MFR524249 MPN524248:MPN524249 MZJ524248:MZJ524249 NJF524248:NJF524249 NTB524248:NTB524249 OCX524248:OCX524249 OMT524248:OMT524249 OWP524248:OWP524249 PGL524248:PGL524249 PQH524248:PQH524249 QAD524248:QAD524249 QJZ524248:QJZ524249 QTV524248:QTV524249 RDR524248:RDR524249 RNN524248:RNN524249 RXJ524248:RXJ524249 SHF524248:SHF524249 SRB524248:SRB524249 TAX524248:TAX524249 TKT524248:TKT524249 TUP524248:TUP524249 UEL524248:UEL524249 UOH524248:UOH524249 UYD524248:UYD524249 VHZ524248:VHZ524249 VRV524248:VRV524249 WBR524248:WBR524249 WLN524248:WLN524249 WVJ524248:WVJ524249 B589784:B589785 IX589784:IX589785 ST589784:ST589785 ACP589784:ACP589785 AML589784:AML589785 AWH589784:AWH589785 BGD589784:BGD589785 BPZ589784:BPZ589785 BZV589784:BZV589785 CJR589784:CJR589785 CTN589784:CTN589785 DDJ589784:DDJ589785 DNF589784:DNF589785 DXB589784:DXB589785 EGX589784:EGX589785 EQT589784:EQT589785 FAP589784:FAP589785 FKL589784:FKL589785 FUH589784:FUH589785 GED589784:GED589785 GNZ589784:GNZ589785 GXV589784:GXV589785 HHR589784:HHR589785 HRN589784:HRN589785 IBJ589784:IBJ589785 ILF589784:ILF589785 IVB589784:IVB589785 JEX589784:JEX589785 JOT589784:JOT589785 JYP589784:JYP589785 KIL589784:KIL589785 KSH589784:KSH589785 LCD589784:LCD589785 LLZ589784:LLZ589785 LVV589784:LVV589785 MFR589784:MFR589785 MPN589784:MPN589785 MZJ589784:MZJ589785 NJF589784:NJF589785 NTB589784:NTB589785 OCX589784:OCX589785 OMT589784:OMT589785 OWP589784:OWP589785 PGL589784:PGL589785 PQH589784:PQH589785 QAD589784:QAD589785 QJZ589784:QJZ589785 QTV589784:QTV589785 RDR589784:RDR589785 RNN589784:RNN589785 RXJ589784:RXJ589785 SHF589784:SHF589785 SRB589784:SRB589785 TAX589784:TAX589785 TKT589784:TKT589785 TUP589784:TUP589785 UEL589784:UEL589785 UOH589784:UOH589785 UYD589784:UYD589785 VHZ589784:VHZ589785 VRV589784:VRV589785 WBR589784:WBR589785 WLN589784:WLN589785 WVJ589784:WVJ589785 B655320:B655321 IX655320:IX655321 ST655320:ST655321 ACP655320:ACP655321 AML655320:AML655321 AWH655320:AWH655321 BGD655320:BGD655321 BPZ655320:BPZ655321 BZV655320:BZV655321 CJR655320:CJR655321 CTN655320:CTN655321 DDJ655320:DDJ655321 DNF655320:DNF655321 DXB655320:DXB655321 EGX655320:EGX655321 EQT655320:EQT655321 FAP655320:FAP655321 FKL655320:FKL655321 FUH655320:FUH655321 GED655320:GED655321 GNZ655320:GNZ655321 GXV655320:GXV655321 HHR655320:HHR655321 HRN655320:HRN655321 IBJ655320:IBJ655321 ILF655320:ILF655321 IVB655320:IVB655321 JEX655320:JEX655321 JOT655320:JOT655321 JYP655320:JYP655321 KIL655320:KIL655321 KSH655320:KSH655321 LCD655320:LCD655321 LLZ655320:LLZ655321 LVV655320:LVV655321 MFR655320:MFR655321 MPN655320:MPN655321 MZJ655320:MZJ655321 NJF655320:NJF655321 NTB655320:NTB655321 OCX655320:OCX655321 OMT655320:OMT655321 OWP655320:OWP655321 PGL655320:PGL655321 PQH655320:PQH655321 QAD655320:QAD655321 QJZ655320:QJZ655321 QTV655320:QTV655321 RDR655320:RDR655321 RNN655320:RNN655321 RXJ655320:RXJ655321 SHF655320:SHF655321 SRB655320:SRB655321 TAX655320:TAX655321 TKT655320:TKT655321 TUP655320:TUP655321 UEL655320:UEL655321 UOH655320:UOH655321 UYD655320:UYD655321 VHZ655320:VHZ655321 VRV655320:VRV655321 WBR655320:WBR655321 WLN655320:WLN655321 WVJ655320:WVJ655321 B720856:B720857 IX720856:IX720857 ST720856:ST720857 ACP720856:ACP720857 AML720856:AML720857 AWH720856:AWH720857 BGD720856:BGD720857 BPZ720856:BPZ720857 BZV720856:BZV720857 CJR720856:CJR720857 CTN720856:CTN720857 DDJ720856:DDJ720857 DNF720856:DNF720857 DXB720856:DXB720857 EGX720856:EGX720857 EQT720856:EQT720857 FAP720856:FAP720857 FKL720856:FKL720857 FUH720856:FUH720857 GED720856:GED720857 GNZ720856:GNZ720857 GXV720856:GXV720857 HHR720856:HHR720857 HRN720856:HRN720857 IBJ720856:IBJ720857 ILF720856:ILF720857 IVB720856:IVB720857 JEX720856:JEX720857 JOT720856:JOT720857 JYP720856:JYP720857 KIL720856:KIL720857 KSH720856:KSH720857 LCD720856:LCD720857 LLZ720856:LLZ720857 LVV720856:LVV720857 MFR720856:MFR720857 MPN720856:MPN720857 MZJ720856:MZJ720857 NJF720856:NJF720857 NTB720856:NTB720857 OCX720856:OCX720857 OMT720856:OMT720857 OWP720856:OWP720857 PGL720856:PGL720857 PQH720856:PQH720857 QAD720856:QAD720857 QJZ720856:QJZ720857 QTV720856:QTV720857 RDR720856:RDR720857 RNN720856:RNN720857 RXJ720856:RXJ720857 SHF720856:SHF720857 SRB720856:SRB720857 TAX720856:TAX720857 TKT720856:TKT720857 TUP720856:TUP720857 UEL720856:UEL720857 UOH720856:UOH720857 UYD720856:UYD720857 VHZ720856:VHZ720857 VRV720856:VRV720857 WBR720856:WBR720857 WLN720856:WLN720857 WVJ720856:WVJ720857 B786392:B786393 IX786392:IX786393 ST786392:ST786393 ACP786392:ACP786393 AML786392:AML786393 AWH786392:AWH786393 BGD786392:BGD786393 BPZ786392:BPZ786393 BZV786392:BZV786393 CJR786392:CJR786393 CTN786392:CTN786393 DDJ786392:DDJ786393 DNF786392:DNF786393 DXB786392:DXB786393 EGX786392:EGX786393 EQT786392:EQT786393 FAP786392:FAP786393 FKL786392:FKL786393 FUH786392:FUH786393 GED786392:GED786393 GNZ786392:GNZ786393 GXV786392:GXV786393 HHR786392:HHR786393 HRN786392:HRN786393 IBJ786392:IBJ786393 ILF786392:ILF786393 IVB786392:IVB786393 JEX786392:JEX786393 JOT786392:JOT786393 JYP786392:JYP786393 KIL786392:KIL786393 KSH786392:KSH786393 LCD786392:LCD786393 LLZ786392:LLZ786393 LVV786392:LVV786393 MFR786392:MFR786393 MPN786392:MPN786393 MZJ786392:MZJ786393 NJF786392:NJF786393 NTB786392:NTB786393 OCX786392:OCX786393 OMT786392:OMT786393 OWP786392:OWP786393 PGL786392:PGL786393 PQH786392:PQH786393 QAD786392:QAD786393 QJZ786392:QJZ786393 QTV786392:QTV786393 RDR786392:RDR786393 RNN786392:RNN786393 RXJ786392:RXJ786393 SHF786392:SHF786393 SRB786392:SRB786393 TAX786392:TAX786393 TKT786392:TKT786393 TUP786392:TUP786393 UEL786392:UEL786393 UOH786392:UOH786393 UYD786392:UYD786393 VHZ786392:VHZ786393 VRV786392:VRV786393 WBR786392:WBR786393 WLN786392:WLN786393 WVJ786392:WVJ786393 B851928:B851929 IX851928:IX851929 ST851928:ST851929 ACP851928:ACP851929 AML851928:AML851929 AWH851928:AWH851929 BGD851928:BGD851929 BPZ851928:BPZ851929 BZV851928:BZV851929 CJR851928:CJR851929 CTN851928:CTN851929 DDJ851928:DDJ851929 DNF851928:DNF851929 DXB851928:DXB851929 EGX851928:EGX851929 EQT851928:EQT851929 FAP851928:FAP851929 FKL851928:FKL851929 FUH851928:FUH851929 GED851928:GED851929 GNZ851928:GNZ851929 GXV851928:GXV851929 HHR851928:HHR851929 HRN851928:HRN851929 IBJ851928:IBJ851929 ILF851928:ILF851929 IVB851928:IVB851929 JEX851928:JEX851929 JOT851928:JOT851929 JYP851928:JYP851929 KIL851928:KIL851929 KSH851928:KSH851929 LCD851928:LCD851929 LLZ851928:LLZ851929 LVV851928:LVV851929 MFR851928:MFR851929 MPN851928:MPN851929 MZJ851928:MZJ851929 NJF851928:NJF851929 NTB851928:NTB851929 OCX851928:OCX851929 OMT851928:OMT851929 OWP851928:OWP851929 PGL851928:PGL851929 PQH851928:PQH851929 QAD851928:QAD851929 QJZ851928:QJZ851929 QTV851928:QTV851929 RDR851928:RDR851929 RNN851928:RNN851929 RXJ851928:RXJ851929 SHF851928:SHF851929 SRB851928:SRB851929 TAX851928:TAX851929 TKT851928:TKT851929 TUP851928:TUP851929 UEL851928:UEL851929 UOH851928:UOH851929 UYD851928:UYD851929 VHZ851928:VHZ851929 VRV851928:VRV851929 WBR851928:WBR851929 WLN851928:WLN851929 WVJ851928:WVJ851929 B917464:B917465 IX917464:IX917465 ST917464:ST917465 ACP917464:ACP917465 AML917464:AML917465 AWH917464:AWH917465 BGD917464:BGD917465 BPZ917464:BPZ917465 BZV917464:BZV917465 CJR917464:CJR917465 CTN917464:CTN917465 DDJ917464:DDJ917465 DNF917464:DNF917465 DXB917464:DXB917465 EGX917464:EGX917465 EQT917464:EQT917465 FAP917464:FAP917465 FKL917464:FKL917465 FUH917464:FUH917465 GED917464:GED917465 GNZ917464:GNZ917465 GXV917464:GXV917465 HHR917464:HHR917465 HRN917464:HRN917465 IBJ917464:IBJ917465 ILF917464:ILF917465 IVB917464:IVB917465 JEX917464:JEX917465 JOT917464:JOT917465 JYP917464:JYP917465 KIL917464:KIL917465 KSH917464:KSH917465 LCD917464:LCD917465 LLZ917464:LLZ917465 LVV917464:LVV917465 MFR917464:MFR917465 MPN917464:MPN917465 MZJ917464:MZJ917465 NJF917464:NJF917465 NTB917464:NTB917465 OCX917464:OCX917465 OMT917464:OMT917465 OWP917464:OWP917465 PGL917464:PGL917465 PQH917464:PQH917465 QAD917464:QAD917465 QJZ917464:QJZ917465 QTV917464:QTV917465 RDR917464:RDR917465 RNN917464:RNN917465 RXJ917464:RXJ917465 SHF917464:SHF917465 SRB917464:SRB917465 TAX917464:TAX917465 TKT917464:TKT917465 TUP917464:TUP917465 UEL917464:UEL917465 UOH917464:UOH917465 UYD917464:UYD917465 VHZ917464:VHZ917465 VRV917464:VRV917465 WBR917464:WBR917465 WLN917464:WLN917465 WVJ917464:WVJ917465 B983000:B983001 IX983000:IX983001 ST983000:ST983001 ACP983000:ACP983001 AML983000:AML983001 AWH983000:AWH983001 BGD983000:BGD983001 BPZ983000:BPZ983001 BZV983000:BZV983001 CJR983000:CJR983001 CTN983000:CTN983001 DDJ983000:DDJ983001 DNF983000:DNF983001 DXB983000:DXB983001 EGX983000:EGX983001 EQT983000:EQT983001 FAP983000:FAP983001 FKL983000:FKL983001 FUH983000:FUH983001 GED983000:GED983001 GNZ983000:GNZ983001 GXV983000:GXV983001 HHR983000:HHR983001 HRN983000:HRN983001 IBJ983000:IBJ983001 ILF983000:ILF983001 IVB983000:IVB983001 JEX983000:JEX983001 JOT983000:JOT983001 JYP983000:JYP983001 KIL983000:KIL983001 KSH983000:KSH983001 LCD983000:LCD983001 LLZ983000:LLZ983001 LVV983000:LVV983001 MFR983000:MFR983001 MPN983000:MPN983001 MZJ983000:MZJ983001 NJF983000:NJF983001 NTB983000:NTB983001 OCX983000:OCX983001 OMT983000:OMT983001 OWP983000:OWP983001 PGL983000:PGL983001 PQH983000:PQH983001 QAD983000:QAD983001 QJZ983000:QJZ983001 QTV983000:QTV983001 RDR983000:RDR983001 RNN983000:RNN983001 RXJ983000:RXJ983001 SHF983000:SHF983001 SRB983000:SRB983001 TAX983000:TAX983001 TKT983000:TKT983001 TUP983000:TUP983001 UEL983000:UEL983001 UOH983000:UOH983001 UYD983000:UYD983001 VHZ983000:VHZ983001 VRV983000:VRV983001 WBR983000:WBR983001 WLN983000:WLN983001 WVJ983000:WVJ983001">
      <formula1>$R$26</formula1>
    </dataValidation>
    <dataValidation type="list" allowBlank="1" showInputMessage="1" showErrorMessage="1" sqref="F7:K7">
      <formula1>$O$3:$O$8</formula1>
    </dataValidation>
  </dataValidations>
  <pageMargins left="0.62992125984251968" right="0.23622047244094488"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WVJ983113:WVJ983115 B65609:B65611 IX65609:IX65611 ST65609:ST65611 ACP65609:ACP65611 AML65609:AML65611 AWH65609:AWH65611 BGD65609:BGD65611 BPZ65609:BPZ65611 BZV65609:BZV65611 CJR65609:CJR65611 CTN65609:CTN65611 DDJ65609:DDJ65611 DNF65609:DNF65611 DXB65609:DXB65611 EGX65609:EGX65611 EQT65609:EQT65611 FAP65609:FAP65611 FKL65609:FKL65611 FUH65609:FUH65611 GED65609:GED65611 GNZ65609:GNZ65611 GXV65609:GXV65611 HHR65609:HHR65611 HRN65609:HRN65611 IBJ65609:IBJ65611 ILF65609:ILF65611 IVB65609:IVB65611 JEX65609:JEX65611 JOT65609:JOT65611 JYP65609:JYP65611 KIL65609:KIL65611 KSH65609:KSH65611 LCD65609:LCD65611 LLZ65609:LLZ65611 LVV65609:LVV65611 MFR65609:MFR65611 MPN65609:MPN65611 MZJ65609:MZJ65611 NJF65609:NJF65611 NTB65609:NTB65611 OCX65609:OCX65611 OMT65609:OMT65611 OWP65609:OWP65611 PGL65609:PGL65611 PQH65609:PQH65611 QAD65609:QAD65611 QJZ65609:QJZ65611 QTV65609:QTV65611 RDR65609:RDR65611 RNN65609:RNN65611 RXJ65609:RXJ65611 SHF65609:SHF65611 SRB65609:SRB65611 TAX65609:TAX65611 TKT65609:TKT65611 TUP65609:TUP65611 UEL65609:UEL65611 UOH65609:UOH65611 UYD65609:UYD65611 VHZ65609:VHZ65611 VRV65609:VRV65611 WBR65609:WBR65611 WLN65609:WLN65611 WVJ65609:WVJ65611 B131145:B131147 IX131145:IX131147 ST131145:ST131147 ACP131145:ACP131147 AML131145:AML131147 AWH131145:AWH131147 BGD131145:BGD131147 BPZ131145:BPZ131147 BZV131145:BZV131147 CJR131145:CJR131147 CTN131145:CTN131147 DDJ131145:DDJ131147 DNF131145:DNF131147 DXB131145:DXB131147 EGX131145:EGX131147 EQT131145:EQT131147 FAP131145:FAP131147 FKL131145:FKL131147 FUH131145:FUH131147 GED131145:GED131147 GNZ131145:GNZ131147 GXV131145:GXV131147 HHR131145:HHR131147 HRN131145:HRN131147 IBJ131145:IBJ131147 ILF131145:ILF131147 IVB131145:IVB131147 JEX131145:JEX131147 JOT131145:JOT131147 JYP131145:JYP131147 KIL131145:KIL131147 KSH131145:KSH131147 LCD131145:LCD131147 LLZ131145:LLZ131147 LVV131145:LVV131147 MFR131145:MFR131147 MPN131145:MPN131147 MZJ131145:MZJ131147 NJF131145:NJF131147 NTB131145:NTB131147 OCX131145:OCX131147 OMT131145:OMT131147 OWP131145:OWP131147 PGL131145:PGL131147 PQH131145:PQH131147 QAD131145:QAD131147 QJZ131145:QJZ131147 QTV131145:QTV131147 RDR131145:RDR131147 RNN131145:RNN131147 RXJ131145:RXJ131147 SHF131145:SHF131147 SRB131145:SRB131147 TAX131145:TAX131147 TKT131145:TKT131147 TUP131145:TUP131147 UEL131145:UEL131147 UOH131145:UOH131147 UYD131145:UYD131147 VHZ131145:VHZ131147 VRV131145:VRV131147 WBR131145:WBR131147 WLN131145:WLN131147 WVJ131145:WVJ131147 B196681:B196683 IX196681:IX196683 ST196681:ST196683 ACP196681:ACP196683 AML196681:AML196683 AWH196681:AWH196683 BGD196681:BGD196683 BPZ196681:BPZ196683 BZV196681:BZV196683 CJR196681:CJR196683 CTN196681:CTN196683 DDJ196681:DDJ196683 DNF196681:DNF196683 DXB196681:DXB196683 EGX196681:EGX196683 EQT196681:EQT196683 FAP196681:FAP196683 FKL196681:FKL196683 FUH196681:FUH196683 GED196681:GED196683 GNZ196681:GNZ196683 GXV196681:GXV196683 HHR196681:HHR196683 HRN196681:HRN196683 IBJ196681:IBJ196683 ILF196681:ILF196683 IVB196681:IVB196683 JEX196681:JEX196683 JOT196681:JOT196683 JYP196681:JYP196683 KIL196681:KIL196683 KSH196681:KSH196683 LCD196681:LCD196683 LLZ196681:LLZ196683 LVV196681:LVV196683 MFR196681:MFR196683 MPN196681:MPN196683 MZJ196681:MZJ196683 NJF196681:NJF196683 NTB196681:NTB196683 OCX196681:OCX196683 OMT196681:OMT196683 OWP196681:OWP196683 PGL196681:PGL196683 PQH196681:PQH196683 QAD196681:QAD196683 QJZ196681:QJZ196683 QTV196681:QTV196683 RDR196681:RDR196683 RNN196681:RNN196683 RXJ196681:RXJ196683 SHF196681:SHF196683 SRB196681:SRB196683 TAX196681:TAX196683 TKT196681:TKT196683 TUP196681:TUP196683 UEL196681:UEL196683 UOH196681:UOH196683 UYD196681:UYD196683 VHZ196681:VHZ196683 VRV196681:VRV196683 WBR196681:WBR196683 WLN196681:WLN196683 WVJ196681:WVJ196683 B262217:B262219 IX262217:IX262219 ST262217:ST262219 ACP262217:ACP262219 AML262217:AML262219 AWH262217:AWH262219 BGD262217:BGD262219 BPZ262217:BPZ262219 BZV262217:BZV262219 CJR262217:CJR262219 CTN262217:CTN262219 DDJ262217:DDJ262219 DNF262217:DNF262219 DXB262217:DXB262219 EGX262217:EGX262219 EQT262217:EQT262219 FAP262217:FAP262219 FKL262217:FKL262219 FUH262217:FUH262219 GED262217:GED262219 GNZ262217:GNZ262219 GXV262217:GXV262219 HHR262217:HHR262219 HRN262217:HRN262219 IBJ262217:IBJ262219 ILF262217:ILF262219 IVB262217:IVB262219 JEX262217:JEX262219 JOT262217:JOT262219 JYP262217:JYP262219 KIL262217:KIL262219 KSH262217:KSH262219 LCD262217:LCD262219 LLZ262217:LLZ262219 LVV262217:LVV262219 MFR262217:MFR262219 MPN262217:MPN262219 MZJ262217:MZJ262219 NJF262217:NJF262219 NTB262217:NTB262219 OCX262217:OCX262219 OMT262217:OMT262219 OWP262217:OWP262219 PGL262217:PGL262219 PQH262217:PQH262219 QAD262217:QAD262219 QJZ262217:QJZ262219 QTV262217:QTV262219 RDR262217:RDR262219 RNN262217:RNN262219 RXJ262217:RXJ262219 SHF262217:SHF262219 SRB262217:SRB262219 TAX262217:TAX262219 TKT262217:TKT262219 TUP262217:TUP262219 UEL262217:UEL262219 UOH262217:UOH262219 UYD262217:UYD262219 VHZ262217:VHZ262219 VRV262217:VRV262219 WBR262217:WBR262219 WLN262217:WLN262219 WVJ262217:WVJ262219 B327753:B327755 IX327753:IX327755 ST327753:ST327755 ACP327753:ACP327755 AML327753:AML327755 AWH327753:AWH327755 BGD327753:BGD327755 BPZ327753:BPZ327755 BZV327753:BZV327755 CJR327753:CJR327755 CTN327753:CTN327755 DDJ327753:DDJ327755 DNF327753:DNF327755 DXB327753:DXB327755 EGX327753:EGX327755 EQT327753:EQT327755 FAP327753:FAP327755 FKL327753:FKL327755 FUH327753:FUH327755 GED327753:GED327755 GNZ327753:GNZ327755 GXV327753:GXV327755 HHR327753:HHR327755 HRN327753:HRN327755 IBJ327753:IBJ327755 ILF327753:ILF327755 IVB327753:IVB327755 JEX327753:JEX327755 JOT327753:JOT327755 JYP327753:JYP327755 KIL327753:KIL327755 KSH327753:KSH327755 LCD327753:LCD327755 LLZ327753:LLZ327755 LVV327753:LVV327755 MFR327753:MFR327755 MPN327753:MPN327755 MZJ327753:MZJ327755 NJF327753:NJF327755 NTB327753:NTB327755 OCX327753:OCX327755 OMT327753:OMT327755 OWP327753:OWP327755 PGL327753:PGL327755 PQH327753:PQH327755 QAD327753:QAD327755 QJZ327753:QJZ327755 QTV327753:QTV327755 RDR327753:RDR327755 RNN327753:RNN327755 RXJ327753:RXJ327755 SHF327753:SHF327755 SRB327753:SRB327755 TAX327753:TAX327755 TKT327753:TKT327755 TUP327753:TUP327755 UEL327753:UEL327755 UOH327753:UOH327755 UYD327753:UYD327755 VHZ327753:VHZ327755 VRV327753:VRV327755 WBR327753:WBR327755 WLN327753:WLN327755 WVJ327753:WVJ327755 B393289:B393291 IX393289:IX393291 ST393289:ST393291 ACP393289:ACP393291 AML393289:AML393291 AWH393289:AWH393291 BGD393289:BGD393291 BPZ393289:BPZ393291 BZV393289:BZV393291 CJR393289:CJR393291 CTN393289:CTN393291 DDJ393289:DDJ393291 DNF393289:DNF393291 DXB393289:DXB393291 EGX393289:EGX393291 EQT393289:EQT393291 FAP393289:FAP393291 FKL393289:FKL393291 FUH393289:FUH393291 GED393289:GED393291 GNZ393289:GNZ393291 GXV393289:GXV393291 HHR393289:HHR393291 HRN393289:HRN393291 IBJ393289:IBJ393291 ILF393289:ILF393291 IVB393289:IVB393291 JEX393289:JEX393291 JOT393289:JOT393291 JYP393289:JYP393291 KIL393289:KIL393291 KSH393289:KSH393291 LCD393289:LCD393291 LLZ393289:LLZ393291 LVV393289:LVV393291 MFR393289:MFR393291 MPN393289:MPN393291 MZJ393289:MZJ393291 NJF393289:NJF393291 NTB393289:NTB393291 OCX393289:OCX393291 OMT393289:OMT393291 OWP393289:OWP393291 PGL393289:PGL393291 PQH393289:PQH393291 QAD393289:QAD393291 QJZ393289:QJZ393291 QTV393289:QTV393291 RDR393289:RDR393291 RNN393289:RNN393291 RXJ393289:RXJ393291 SHF393289:SHF393291 SRB393289:SRB393291 TAX393289:TAX393291 TKT393289:TKT393291 TUP393289:TUP393291 UEL393289:UEL393291 UOH393289:UOH393291 UYD393289:UYD393291 VHZ393289:VHZ393291 VRV393289:VRV393291 WBR393289:WBR393291 WLN393289:WLN393291 WVJ393289:WVJ393291 B458825:B458827 IX458825:IX458827 ST458825:ST458827 ACP458825:ACP458827 AML458825:AML458827 AWH458825:AWH458827 BGD458825:BGD458827 BPZ458825:BPZ458827 BZV458825:BZV458827 CJR458825:CJR458827 CTN458825:CTN458827 DDJ458825:DDJ458827 DNF458825:DNF458827 DXB458825:DXB458827 EGX458825:EGX458827 EQT458825:EQT458827 FAP458825:FAP458827 FKL458825:FKL458827 FUH458825:FUH458827 GED458825:GED458827 GNZ458825:GNZ458827 GXV458825:GXV458827 HHR458825:HHR458827 HRN458825:HRN458827 IBJ458825:IBJ458827 ILF458825:ILF458827 IVB458825:IVB458827 JEX458825:JEX458827 JOT458825:JOT458827 JYP458825:JYP458827 KIL458825:KIL458827 KSH458825:KSH458827 LCD458825:LCD458827 LLZ458825:LLZ458827 LVV458825:LVV458827 MFR458825:MFR458827 MPN458825:MPN458827 MZJ458825:MZJ458827 NJF458825:NJF458827 NTB458825:NTB458827 OCX458825:OCX458827 OMT458825:OMT458827 OWP458825:OWP458827 PGL458825:PGL458827 PQH458825:PQH458827 QAD458825:QAD458827 QJZ458825:QJZ458827 QTV458825:QTV458827 RDR458825:RDR458827 RNN458825:RNN458827 RXJ458825:RXJ458827 SHF458825:SHF458827 SRB458825:SRB458827 TAX458825:TAX458827 TKT458825:TKT458827 TUP458825:TUP458827 UEL458825:UEL458827 UOH458825:UOH458827 UYD458825:UYD458827 VHZ458825:VHZ458827 VRV458825:VRV458827 WBR458825:WBR458827 WLN458825:WLN458827 WVJ458825:WVJ458827 B524361:B524363 IX524361:IX524363 ST524361:ST524363 ACP524361:ACP524363 AML524361:AML524363 AWH524361:AWH524363 BGD524361:BGD524363 BPZ524361:BPZ524363 BZV524361:BZV524363 CJR524361:CJR524363 CTN524361:CTN524363 DDJ524361:DDJ524363 DNF524361:DNF524363 DXB524361:DXB524363 EGX524361:EGX524363 EQT524361:EQT524363 FAP524361:FAP524363 FKL524361:FKL524363 FUH524361:FUH524363 GED524361:GED524363 GNZ524361:GNZ524363 GXV524361:GXV524363 HHR524361:HHR524363 HRN524361:HRN524363 IBJ524361:IBJ524363 ILF524361:ILF524363 IVB524361:IVB524363 JEX524361:JEX524363 JOT524361:JOT524363 JYP524361:JYP524363 KIL524361:KIL524363 KSH524361:KSH524363 LCD524361:LCD524363 LLZ524361:LLZ524363 LVV524361:LVV524363 MFR524361:MFR524363 MPN524361:MPN524363 MZJ524361:MZJ524363 NJF524361:NJF524363 NTB524361:NTB524363 OCX524361:OCX524363 OMT524361:OMT524363 OWP524361:OWP524363 PGL524361:PGL524363 PQH524361:PQH524363 QAD524361:QAD524363 QJZ524361:QJZ524363 QTV524361:QTV524363 RDR524361:RDR524363 RNN524361:RNN524363 RXJ524361:RXJ524363 SHF524361:SHF524363 SRB524361:SRB524363 TAX524361:TAX524363 TKT524361:TKT524363 TUP524361:TUP524363 UEL524361:UEL524363 UOH524361:UOH524363 UYD524361:UYD524363 VHZ524361:VHZ524363 VRV524361:VRV524363 WBR524361:WBR524363 WLN524361:WLN524363 WVJ524361:WVJ524363 B589897:B589899 IX589897:IX589899 ST589897:ST589899 ACP589897:ACP589899 AML589897:AML589899 AWH589897:AWH589899 BGD589897:BGD589899 BPZ589897:BPZ589899 BZV589897:BZV589899 CJR589897:CJR589899 CTN589897:CTN589899 DDJ589897:DDJ589899 DNF589897:DNF589899 DXB589897:DXB589899 EGX589897:EGX589899 EQT589897:EQT589899 FAP589897:FAP589899 FKL589897:FKL589899 FUH589897:FUH589899 GED589897:GED589899 GNZ589897:GNZ589899 GXV589897:GXV589899 HHR589897:HHR589899 HRN589897:HRN589899 IBJ589897:IBJ589899 ILF589897:ILF589899 IVB589897:IVB589899 JEX589897:JEX589899 JOT589897:JOT589899 JYP589897:JYP589899 KIL589897:KIL589899 KSH589897:KSH589899 LCD589897:LCD589899 LLZ589897:LLZ589899 LVV589897:LVV589899 MFR589897:MFR589899 MPN589897:MPN589899 MZJ589897:MZJ589899 NJF589897:NJF589899 NTB589897:NTB589899 OCX589897:OCX589899 OMT589897:OMT589899 OWP589897:OWP589899 PGL589897:PGL589899 PQH589897:PQH589899 QAD589897:QAD589899 QJZ589897:QJZ589899 QTV589897:QTV589899 RDR589897:RDR589899 RNN589897:RNN589899 RXJ589897:RXJ589899 SHF589897:SHF589899 SRB589897:SRB589899 TAX589897:TAX589899 TKT589897:TKT589899 TUP589897:TUP589899 UEL589897:UEL589899 UOH589897:UOH589899 UYD589897:UYD589899 VHZ589897:VHZ589899 VRV589897:VRV589899 WBR589897:WBR589899 WLN589897:WLN589899 WVJ589897:WVJ589899 B655433:B655435 IX655433:IX655435 ST655433:ST655435 ACP655433:ACP655435 AML655433:AML655435 AWH655433:AWH655435 BGD655433:BGD655435 BPZ655433:BPZ655435 BZV655433:BZV655435 CJR655433:CJR655435 CTN655433:CTN655435 DDJ655433:DDJ655435 DNF655433:DNF655435 DXB655433:DXB655435 EGX655433:EGX655435 EQT655433:EQT655435 FAP655433:FAP655435 FKL655433:FKL655435 FUH655433:FUH655435 GED655433:GED655435 GNZ655433:GNZ655435 GXV655433:GXV655435 HHR655433:HHR655435 HRN655433:HRN655435 IBJ655433:IBJ655435 ILF655433:ILF655435 IVB655433:IVB655435 JEX655433:JEX655435 JOT655433:JOT655435 JYP655433:JYP655435 KIL655433:KIL655435 KSH655433:KSH655435 LCD655433:LCD655435 LLZ655433:LLZ655435 LVV655433:LVV655435 MFR655433:MFR655435 MPN655433:MPN655435 MZJ655433:MZJ655435 NJF655433:NJF655435 NTB655433:NTB655435 OCX655433:OCX655435 OMT655433:OMT655435 OWP655433:OWP655435 PGL655433:PGL655435 PQH655433:PQH655435 QAD655433:QAD655435 QJZ655433:QJZ655435 QTV655433:QTV655435 RDR655433:RDR655435 RNN655433:RNN655435 RXJ655433:RXJ655435 SHF655433:SHF655435 SRB655433:SRB655435 TAX655433:TAX655435 TKT655433:TKT655435 TUP655433:TUP655435 UEL655433:UEL655435 UOH655433:UOH655435 UYD655433:UYD655435 VHZ655433:VHZ655435 VRV655433:VRV655435 WBR655433:WBR655435 WLN655433:WLN655435 WVJ655433:WVJ655435 B720969:B720971 IX720969:IX720971 ST720969:ST720971 ACP720969:ACP720971 AML720969:AML720971 AWH720969:AWH720971 BGD720969:BGD720971 BPZ720969:BPZ720971 BZV720969:BZV720971 CJR720969:CJR720971 CTN720969:CTN720971 DDJ720969:DDJ720971 DNF720969:DNF720971 DXB720969:DXB720971 EGX720969:EGX720971 EQT720969:EQT720971 FAP720969:FAP720971 FKL720969:FKL720971 FUH720969:FUH720971 GED720969:GED720971 GNZ720969:GNZ720971 GXV720969:GXV720971 HHR720969:HHR720971 HRN720969:HRN720971 IBJ720969:IBJ720971 ILF720969:ILF720971 IVB720969:IVB720971 JEX720969:JEX720971 JOT720969:JOT720971 JYP720969:JYP720971 KIL720969:KIL720971 KSH720969:KSH720971 LCD720969:LCD720971 LLZ720969:LLZ720971 LVV720969:LVV720971 MFR720969:MFR720971 MPN720969:MPN720971 MZJ720969:MZJ720971 NJF720969:NJF720971 NTB720969:NTB720971 OCX720969:OCX720971 OMT720969:OMT720971 OWP720969:OWP720971 PGL720969:PGL720971 PQH720969:PQH720971 QAD720969:QAD720971 QJZ720969:QJZ720971 QTV720969:QTV720971 RDR720969:RDR720971 RNN720969:RNN720971 RXJ720969:RXJ720971 SHF720969:SHF720971 SRB720969:SRB720971 TAX720969:TAX720971 TKT720969:TKT720971 TUP720969:TUP720971 UEL720969:UEL720971 UOH720969:UOH720971 UYD720969:UYD720971 VHZ720969:VHZ720971 VRV720969:VRV720971 WBR720969:WBR720971 WLN720969:WLN720971 WVJ720969:WVJ720971 B786505:B786507 IX786505:IX786507 ST786505:ST786507 ACP786505:ACP786507 AML786505:AML786507 AWH786505:AWH786507 BGD786505:BGD786507 BPZ786505:BPZ786507 BZV786505:BZV786507 CJR786505:CJR786507 CTN786505:CTN786507 DDJ786505:DDJ786507 DNF786505:DNF786507 DXB786505:DXB786507 EGX786505:EGX786507 EQT786505:EQT786507 FAP786505:FAP786507 FKL786505:FKL786507 FUH786505:FUH786507 GED786505:GED786507 GNZ786505:GNZ786507 GXV786505:GXV786507 HHR786505:HHR786507 HRN786505:HRN786507 IBJ786505:IBJ786507 ILF786505:ILF786507 IVB786505:IVB786507 JEX786505:JEX786507 JOT786505:JOT786507 JYP786505:JYP786507 KIL786505:KIL786507 KSH786505:KSH786507 LCD786505:LCD786507 LLZ786505:LLZ786507 LVV786505:LVV786507 MFR786505:MFR786507 MPN786505:MPN786507 MZJ786505:MZJ786507 NJF786505:NJF786507 NTB786505:NTB786507 OCX786505:OCX786507 OMT786505:OMT786507 OWP786505:OWP786507 PGL786505:PGL786507 PQH786505:PQH786507 QAD786505:QAD786507 QJZ786505:QJZ786507 QTV786505:QTV786507 RDR786505:RDR786507 RNN786505:RNN786507 RXJ786505:RXJ786507 SHF786505:SHF786507 SRB786505:SRB786507 TAX786505:TAX786507 TKT786505:TKT786507 TUP786505:TUP786507 UEL786505:UEL786507 UOH786505:UOH786507 UYD786505:UYD786507 VHZ786505:VHZ786507 VRV786505:VRV786507 WBR786505:WBR786507 WLN786505:WLN786507 WVJ786505:WVJ786507 B852041:B852043 IX852041:IX852043 ST852041:ST852043 ACP852041:ACP852043 AML852041:AML852043 AWH852041:AWH852043 BGD852041:BGD852043 BPZ852041:BPZ852043 BZV852041:BZV852043 CJR852041:CJR852043 CTN852041:CTN852043 DDJ852041:DDJ852043 DNF852041:DNF852043 DXB852041:DXB852043 EGX852041:EGX852043 EQT852041:EQT852043 FAP852041:FAP852043 FKL852041:FKL852043 FUH852041:FUH852043 GED852041:GED852043 GNZ852041:GNZ852043 GXV852041:GXV852043 HHR852041:HHR852043 HRN852041:HRN852043 IBJ852041:IBJ852043 ILF852041:ILF852043 IVB852041:IVB852043 JEX852041:JEX852043 JOT852041:JOT852043 JYP852041:JYP852043 KIL852041:KIL852043 KSH852041:KSH852043 LCD852041:LCD852043 LLZ852041:LLZ852043 LVV852041:LVV852043 MFR852041:MFR852043 MPN852041:MPN852043 MZJ852041:MZJ852043 NJF852041:NJF852043 NTB852041:NTB852043 OCX852041:OCX852043 OMT852041:OMT852043 OWP852041:OWP852043 PGL852041:PGL852043 PQH852041:PQH852043 QAD852041:QAD852043 QJZ852041:QJZ852043 QTV852041:QTV852043 RDR852041:RDR852043 RNN852041:RNN852043 RXJ852041:RXJ852043 SHF852041:SHF852043 SRB852041:SRB852043 TAX852041:TAX852043 TKT852041:TKT852043 TUP852041:TUP852043 UEL852041:UEL852043 UOH852041:UOH852043 UYD852041:UYD852043 VHZ852041:VHZ852043 VRV852041:VRV852043 WBR852041:WBR852043 WLN852041:WLN852043 WVJ852041:WVJ852043 B917577:B917579 IX917577:IX917579 ST917577:ST917579 ACP917577:ACP917579 AML917577:AML917579 AWH917577:AWH917579 BGD917577:BGD917579 BPZ917577:BPZ917579 BZV917577:BZV917579 CJR917577:CJR917579 CTN917577:CTN917579 DDJ917577:DDJ917579 DNF917577:DNF917579 DXB917577:DXB917579 EGX917577:EGX917579 EQT917577:EQT917579 FAP917577:FAP917579 FKL917577:FKL917579 FUH917577:FUH917579 GED917577:GED917579 GNZ917577:GNZ917579 GXV917577:GXV917579 HHR917577:HHR917579 HRN917577:HRN917579 IBJ917577:IBJ917579 ILF917577:ILF917579 IVB917577:IVB917579 JEX917577:JEX917579 JOT917577:JOT917579 JYP917577:JYP917579 KIL917577:KIL917579 KSH917577:KSH917579 LCD917577:LCD917579 LLZ917577:LLZ917579 LVV917577:LVV917579 MFR917577:MFR917579 MPN917577:MPN917579 MZJ917577:MZJ917579 NJF917577:NJF917579 NTB917577:NTB917579 OCX917577:OCX917579 OMT917577:OMT917579 OWP917577:OWP917579 PGL917577:PGL917579 PQH917577:PQH917579 QAD917577:QAD917579 QJZ917577:QJZ917579 QTV917577:QTV917579 RDR917577:RDR917579 RNN917577:RNN917579 RXJ917577:RXJ917579 SHF917577:SHF917579 SRB917577:SRB917579 TAX917577:TAX917579 TKT917577:TKT917579 TUP917577:TUP917579 UEL917577:UEL917579 UOH917577:UOH917579 UYD917577:UYD917579 VHZ917577:VHZ917579 VRV917577:VRV917579 WBR917577:WBR917579 WLN917577:WLN917579 WVJ917577:WVJ917579 B983113:B983115 IX983113:IX983115 ST983113:ST983115 ACP983113:ACP983115 AML983113:AML983115 AWH983113:AWH983115 BGD983113:BGD983115 BPZ983113:BPZ983115 BZV983113:BZV983115 CJR983113:CJR983115 CTN983113:CTN983115 DDJ983113:DDJ983115 DNF983113:DNF983115 DXB983113:DXB983115 EGX983113:EGX983115 EQT983113:EQT983115 FAP983113:FAP983115 FKL983113:FKL983115 FUH983113:FUH983115 GED983113:GED983115 GNZ983113:GNZ983115 GXV983113:GXV983115 HHR983113:HHR983115 HRN983113:HRN983115 IBJ983113:IBJ983115 ILF983113:ILF983115 IVB983113:IVB983115 JEX983113:JEX983115 JOT983113:JOT983115 JYP983113:JYP983115 KIL983113:KIL983115 KSH983113:KSH983115 LCD983113:LCD983115 LLZ983113:LLZ983115 LVV983113:LVV983115 MFR983113:MFR983115 MPN983113:MPN983115 MZJ983113:MZJ983115 NJF983113:NJF983115 NTB983113:NTB983115 OCX983113:OCX983115 OMT983113:OMT983115 OWP983113:OWP983115 PGL983113:PGL983115 PQH983113:PQH983115 QAD983113:QAD983115 QJZ983113:QJZ983115 QTV983113:QTV983115 RDR983113:RDR983115 RNN983113:RNN983115 RXJ983113:RXJ983115 SHF983113:SHF983115 SRB983113:SRB983115 TAX983113:TAX983115 TKT983113:TKT983115 TUP983113:TUP983115 UEL983113:UEL983115 UOH983113:UOH983115 UYD983113:UYD983115 VHZ983113:VHZ983115 VRV983113:VRV983115 WBR983113:WBR983115 WLN983113:WLN983115 D65519 WVL983027 WLP983027 WBT983027 VRX983027 VIB983027 UYF983027 UOJ983027 UEN983027 TUR983027 TKV983027 TAZ983027 SRD983027 SHH983027 RXL983027 RNP983027 RDT983027 QTX983027 QKB983027 QAF983027 PQJ983027 PGN983027 OWR983027 OMV983027 OCZ983027 NTD983027 NJH983027 MZL983027 MPP983027 MFT983027 LVX983027 LMB983027 LCF983027 KSJ983027 KIN983027 JYR983027 JOV983027 JEZ983027 IVD983027 ILH983027 IBL983027 HRP983027 HHT983027 GXX983027 GOB983027 GEF983027 FUJ983027 FKN983027 FAR983027 EQV983027 EGZ983027 DXD983027 DNH983027 DDL983027 CTP983027 CJT983027 BZX983027 BQB983027 BGF983027 AWJ983027 AMN983027 ACR983027 SV983027 IZ983027 D983027 WVL917491 WLP917491 WBT917491 VRX917491 VIB917491 UYF917491 UOJ917491 UEN917491 TUR917491 TKV917491 TAZ917491 SRD917491 SHH917491 RXL917491 RNP917491 RDT917491 QTX917491 QKB917491 QAF917491 PQJ917491 PGN917491 OWR917491 OMV917491 OCZ917491 NTD917491 NJH917491 MZL917491 MPP917491 MFT917491 LVX917491 LMB917491 LCF917491 KSJ917491 KIN917491 JYR917491 JOV917491 JEZ917491 IVD917491 ILH917491 IBL917491 HRP917491 HHT917491 GXX917491 GOB917491 GEF917491 FUJ917491 FKN917491 FAR917491 EQV917491 EGZ917491 DXD917491 DNH917491 DDL917491 CTP917491 CJT917491 BZX917491 BQB917491 BGF917491 AWJ917491 AMN917491 ACR917491 SV917491 IZ917491 D917491 WVL851955 WLP851955 WBT851955 VRX851955 VIB851955 UYF851955 UOJ851955 UEN851955 TUR851955 TKV851955 TAZ851955 SRD851955 SHH851955 RXL851955 RNP851955 RDT851955 QTX851955 QKB851955 QAF851955 PQJ851955 PGN851955 OWR851955 OMV851955 OCZ851955 NTD851955 NJH851955 MZL851955 MPP851955 MFT851955 LVX851955 LMB851955 LCF851955 KSJ851955 KIN851955 JYR851955 JOV851955 JEZ851955 IVD851955 ILH851955 IBL851955 HRP851955 HHT851955 GXX851955 GOB851955 GEF851955 FUJ851955 FKN851955 FAR851955 EQV851955 EGZ851955 DXD851955 DNH851955 DDL851955 CTP851955 CJT851955 BZX851955 BQB851955 BGF851955 AWJ851955 AMN851955 ACR851955 SV851955 IZ851955 D851955 WVL786419 WLP786419 WBT786419 VRX786419 VIB786419 UYF786419 UOJ786419 UEN786419 TUR786419 TKV786419 TAZ786419 SRD786419 SHH786419 RXL786419 RNP786419 RDT786419 QTX786419 QKB786419 QAF786419 PQJ786419 PGN786419 OWR786419 OMV786419 OCZ786419 NTD786419 NJH786419 MZL786419 MPP786419 MFT786419 LVX786419 LMB786419 LCF786419 KSJ786419 KIN786419 JYR786419 JOV786419 JEZ786419 IVD786419 ILH786419 IBL786419 HRP786419 HHT786419 GXX786419 GOB786419 GEF786419 FUJ786419 FKN786419 FAR786419 EQV786419 EGZ786419 DXD786419 DNH786419 DDL786419 CTP786419 CJT786419 BZX786419 BQB786419 BGF786419 AWJ786419 AMN786419 ACR786419 SV786419 IZ786419 D786419 WVL720883 WLP720883 WBT720883 VRX720883 VIB720883 UYF720883 UOJ720883 UEN720883 TUR720883 TKV720883 TAZ720883 SRD720883 SHH720883 RXL720883 RNP720883 RDT720883 QTX720883 QKB720883 QAF720883 PQJ720883 PGN720883 OWR720883 OMV720883 OCZ720883 NTD720883 NJH720883 MZL720883 MPP720883 MFT720883 LVX720883 LMB720883 LCF720883 KSJ720883 KIN720883 JYR720883 JOV720883 JEZ720883 IVD720883 ILH720883 IBL720883 HRP720883 HHT720883 GXX720883 GOB720883 GEF720883 FUJ720883 FKN720883 FAR720883 EQV720883 EGZ720883 DXD720883 DNH720883 DDL720883 CTP720883 CJT720883 BZX720883 BQB720883 BGF720883 AWJ720883 AMN720883 ACR720883 SV720883 IZ720883 D720883 WVL655347 WLP655347 WBT655347 VRX655347 VIB655347 UYF655347 UOJ655347 UEN655347 TUR655347 TKV655347 TAZ655347 SRD655347 SHH655347 RXL655347 RNP655347 RDT655347 QTX655347 QKB655347 QAF655347 PQJ655347 PGN655347 OWR655347 OMV655347 OCZ655347 NTD655347 NJH655347 MZL655347 MPP655347 MFT655347 LVX655347 LMB655347 LCF655347 KSJ655347 KIN655347 JYR655347 JOV655347 JEZ655347 IVD655347 ILH655347 IBL655347 HRP655347 HHT655347 GXX655347 GOB655347 GEF655347 FUJ655347 FKN655347 FAR655347 EQV655347 EGZ655347 DXD655347 DNH655347 DDL655347 CTP655347 CJT655347 BZX655347 BQB655347 BGF655347 AWJ655347 AMN655347 ACR655347 SV655347 IZ655347 D655347 WVL589811 WLP589811 WBT589811 VRX589811 VIB589811 UYF589811 UOJ589811 UEN589811 TUR589811 TKV589811 TAZ589811 SRD589811 SHH589811 RXL589811 RNP589811 RDT589811 QTX589811 QKB589811 QAF589811 PQJ589811 PGN589811 OWR589811 OMV589811 OCZ589811 NTD589811 NJH589811 MZL589811 MPP589811 MFT589811 LVX589811 LMB589811 LCF589811 KSJ589811 KIN589811 JYR589811 JOV589811 JEZ589811 IVD589811 ILH589811 IBL589811 HRP589811 HHT589811 GXX589811 GOB589811 GEF589811 FUJ589811 FKN589811 FAR589811 EQV589811 EGZ589811 DXD589811 DNH589811 DDL589811 CTP589811 CJT589811 BZX589811 BQB589811 BGF589811 AWJ589811 AMN589811 ACR589811 SV589811 IZ589811 D589811 WVL524275 WLP524275 WBT524275 VRX524275 VIB524275 UYF524275 UOJ524275 UEN524275 TUR524275 TKV524275 TAZ524275 SRD524275 SHH524275 RXL524275 RNP524275 RDT524275 QTX524275 QKB524275 QAF524275 PQJ524275 PGN524275 OWR524275 OMV524275 OCZ524275 NTD524275 NJH524275 MZL524275 MPP524275 MFT524275 LVX524275 LMB524275 LCF524275 KSJ524275 KIN524275 JYR524275 JOV524275 JEZ524275 IVD524275 ILH524275 IBL524275 HRP524275 HHT524275 GXX524275 GOB524275 GEF524275 FUJ524275 FKN524275 FAR524275 EQV524275 EGZ524275 DXD524275 DNH524275 DDL524275 CTP524275 CJT524275 BZX524275 BQB524275 BGF524275 AWJ524275 AMN524275 ACR524275 SV524275 IZ524275 D524275 WVL458739 WLP458739 WBT458739 VRX458739 VIB458739 UYF458739 UOJ458739 UEN458739 TUR458739 TKV458739 TAZ458739 SRD458739 SHH458739 RXL458739 RNP458739 RDT458739 QTX458739 QKB458739 QAF458739 PQJ458739 PGN458739 OWR458739 OMV458739 OCZ458739 NTD458739 NJH458739 MZL458739 MPP458739 MFT458739 LVX458739 LMB458739 LCF458739 KSJ458739 KIN458739 JYR458739 JOV458739 JEZ458739 IVD458739 ILH458739 IBL458739 HRP458739 HHT458739 GXX458739 GOB458739 GEF458739 FUJ458739 FKN458739 FAR458739 EQV458739 EGZ458739 DXD458739 DNH458739 DDL458739 CTP458739 CJT458739 BZX458739 BQB458739 BGF458739 AWJ458739 AMN458739 ACR458739 SV458739 IZ458739 D458739 WVL393203 WLP393203 WBT393203 VRX393203 VIB393203 UYF393203 UOJ393203 UEN393203 TUR393203 TKV393203 TAZ393203 SRD393203 SHH393203 RXL393203 RNP393203 RDT393203 QTX393203 QKB393203 QAF393203 PQJ393203 PGN393203 OWR393203 OMV393203 OCZ393203 NTD393203 NJH393203 MZL393203 MPP393203 MFT393203 LVX393203 LMB393203 LCF393203 KSJ393203 KIN393203 JYR393203 JOV393203 JEZ393203 IVD393203 ILH393203 IBL393203 HRP393203 HHT393203 GXX393203 GOB393203 GEF393203 FUJ393203 FKN393203 FAR393203 EQV393203 EGZ393203 DXD393203 DNH393203 DDL393203 CTP393203 CJT393203 BZX393203 BQB393203 BGF393203 AWJ393203 AMN393203 ACR393203 SV393203 IZ393203 D393203 WVL327667 WLP327667 WBT327667 VRX327667 VIB327667 UYF327667 UOJ327667 UEN327667 TUR327667 TKV327667 TAZ327667 SRD327667 SHH327667 RXL327667 RNP327667 RDT327667 QTX327667 QKB327667 QAF327667 PQJ327667 PGN327667 OWR327667 OMV327667 OCZ327667 NTD327667 NJH327667 MZL327667 MPP327667 MFT327667 LVX327667 LMB327667 LCF327667 KSJ327667 KIN327667 JYR327667 JOV327667 JEZ327667 IVD327667 ILH327667 IBL327667 HRP327667 HHT327667 GXX327667 GOB327667 GEF327667 FUJ327667 FKN327667 FAR327667 EQV327667 EGZ327667 DXD327667 DNH327667 DDL327667 CTP327667 CJT327667 BZX327667 BQB327667 BGF327667 AWJ327667 AMN327667 ACR327667 SV327667 IZ327667 D327667 WVL262131 WLP262131 WBT262131 VRX262131 VIB262131 UYF262131 UOJ262131 UEN262131 TUR262131 TKV262131 TAZ262131 SRD262131 SHH262131 RXL262131 RNP262131 RDT262131 QTX262131 QKB262131 QAF262131 PQJ262131 PGN262131 OWR262131 OMV262131 OCZ262131 NTD262131 NJH262131 MZL262131 MPP262131 MFT262131 LVX262131 LMB262131 LCF262131 KSJ262131 KIN262131 JYR262131 JOV262131 JEZ262131 IVD262131 ILH262131 IBL262131 HRP262131 HHT262131 GXX262131 GOB262131 GEF262131 FUJ262131 FKN262131 FAR262131 EQV262131 EGZ262131 DXD262131 DNH262131 DDL262131 CTP262131 CJT262131 BZX262131 BQB262131 BGF262131 AWJ262131 AMN262131 ACR262131 SV262131 IZ262131 D262131 WVL196595 WLP196595 WBT196595 VRX196595 VIB196595 UYF196595 UOJ196595 UEN196595 TUR196595 TKV196595 TAZ196595 SRD196595 SHH196595 RXL196595 RNP196595 RDT196595 QTX196595 QKB196595 QAF196595 PQJ196595 PGN196595 OWR196595 OMV196595 OCZ196595 NTD196595 NJH196595 MZL196595 MPP196595 MFT196595 LVX196595 LMB196595 LCF196595 KSJ196595 KIN196595 JYR196595 JOV196595 JEZ196595 IVD196595 ILH196595 IBL196595 HRP196595 HHT196595 GXX196595 GOB196595 GEF196595 FUJ196595 FKN196595 FAR196595 EQV196595 EGZ196595 DXD196595 DNH196595 DDL196595 CTP196595 CJT196595 BZX196595 BQB196595 BGF196595 AWJ196595 AMN196595 ACR196595 SV196595 IZ196595 D196595 WVL131059 WLP131059 WBT131059 VRX131059 VIB131059 UYF131059 UOJ131059 UEN131059 TUR131059 TKV131059 TAZ131059 SRD131059 SHH131059 RXL131059 RNP131059 RDT131059 QTX131059 QKB131059 QAF131059 PQJ131059 PGN131059 OWR131059 OMV131059 OCZ131059 NTD131059 NJH131059 MZL131059 MPP131059 MFT131059 LVX131059 LMB131059 LCF131059 KSJ131059 KIN131059 JYR131059 JOV131059 JEZ131059 IVD131059 ILH131059 IBL131059 HRP131059 HHT131059 GXX131059 GOB131059 GEF131059 FUJ131059 FKN131059 FAR131059 EQV131059 EGZ131059 DXD131059 DNH131059 DDL131059 CTP131059 CJT131059 BZX131059 BQB131059 BGF131059 AWJ131059 AMN131059 ACR131059 SV131059 IZ131059 D131059 WVL65523 WLP65523 WBT65523 VRX65523 VIB65523 UYF65523 UOJ65523 UEN65523 TUR65523 TKV65523 TAZ65523 SRD65523 SHH65523 RXL65523 RNP65523 RDT65523 QTX65523 QKB65523 QAF65523 PQJ65523 PGN65523 OWR65523 OMV65523 OCZ65523 NTD65523 NJH65523 MZL65523 MPP65523 MFT65523 LVX65523 LMB65523 LCF65523 KSJ65523 KIN65523 JYR65523 JOV65523 JEZ65523 IVD65523 ILH65523 IBL65523 HRP65523 HHT65523 GXX65523 GOB65523 GEF65523 FUJ65523 FKN65523 FAR65523 EQV65523 EGZ65523 DXD65523 DNH65523 DDL65523 CTP65523 CJT65523 BZX65523 BQB65523 BGF65523 AWJ65523 AMN65523 ACR65523 SV65523 IZ65523 D65523 WVL983025 WLP983025 WBT983025 VRX983025 VIB983025 UYF983025 UOJ983025 UEN983025 TUR983025 TKV983025 TAZ983025 SRD983025 SHH983025 RXL983025 RNP983025 RDT983025 QTX983025 QKB983025 QAF983025 PQJ983025 PGN983025 OWR983025 OMV983025 OCZ983025 NTD983025 NJH983025 MZL983025 MPP983025 MFT983025 LVX983025 LMB983025 LCF983025 KSJ983025 KIN983025 JYR983025 JOV983025 JEZ983025 IVD983025 ILH983025 IBL983025 HRP983025 HHT983025 GXX983025 GOB983025 GEF983025 FUJ983025 FKN983025 FAR983025 EQV983025 EGZ983025 DXD983025 DNH983025 DDL983025 CTP983025 CJT983025 BZX983025 BQB983025 BGF983025 AWJ983025 AMN983025 ACR983025 SV983025 IZ983025 D983025 WVL917489 WLP917489 WBT917489 VRX917489 VIB917489 UYF917489 UOJ917489 UEN917489 TUR917489 TKV917489 TAZ917489 SRD917489 SHH917489 RXL917489 RNP917489 RDT917489 QTX917489 QKB917489 QAF917489 PQJ917489 PGN917489 OWR917489 OMV917489 OCZ917489 NTD917489 NJH917489 MZL917489 MPP917489 MFT917489 LVX917489 LMB917489 LCF917489 KSJ917489 KIN917489 JYR917489 JOV917489 JEZ917489 IVD917489 ILH917489 IBL917489 HRP917489 HHT917489 GXX917489 GOB917489 GEF917489 FUJ917489 FKN917489 FAR917489 EQV917489 EGZ917489 DXD917489 DNH917489 DDL917489 CTP917489 CJT917489 BZX917489 BQB917489 BGF917489 AWJ917489 AMN917489 ACR917489 SV917489 IZ917489 D917489 WVL851953 WLP851953 WBT851953 VRX851953 VIB851953 UYF851953 UOJ851953 UEN851953 TUR851953 TKV851953 TAZ851953 SRD851953 SHH851953 RXL851953 RNP851953 RDT851953 QTX851953 QKB851953 QAF851953 PQJ851953 PGN851953 OWR851953 OMV851953 OCZ851953 NTD851953 NJH851953 MZL851953 MPP851953 MFT851953 LVX851953 LMB851953 LCF851953 KSJ851953 KIN851953 JYR851953 JOV851953 JEZ851953 IVD851953 ILH851953 IBL851953 HRP851953 HHT851953 GXX851953 GOB851953 GEF851953 FUJ851953 FKN851953 FAR851953 EQV851953 EGZ851953 DXD851953 DNH851953 DDL851953 CTP851953 CJT851953 BZX851953 BQB851953 BGF851953 AWJ851953 AMN851953 ACR851953 SV851953 IZ851953 D851953 WVL786417 WLP786417 WBT786417 VRX786417 VIB786417 UYF786417 UOJ786417 UEN786417 TUR786417 TKV786417 TAZ786417 SRD786417 SHH786417 RXL786417 RNP786417 RDT786417 QTX786417 QKB786417 QAF786417 PQJ786417 PGN786417 OWR786417 OMV786417 OCZ786417 NTD786417 NJH786417 MZL786417 MPP786417 MFT786417 LVX786417 LMB786417 LCF786417 KSJ786417 KIN786417 JYR786417 JOV786417 JEZ786417 IVD786417 ILH786417 IBL786417 HRP786417 HHT786417 GXX786417 GOB786417 GEF786417 FUJ786417 FKN786417 FAR786417 EQV786417 EGZ786417 DXD786417 DNH786417 DDL786417 CTP786417 CJT786417 BZX786417 BQB786417 BGF786417 AWJ786417 AMN786417 ACR786417 SV786417 IZ786417 D786417 WVL720881 WLP720881 WBT720881 VRX720881 VIB720881 UYF720881 UOJ720881 UEN720881 TUR720881 TKV720881 TAZ720881 SRD720881 SHH720881 RXL720881 RNP720881 RDT720881 QTX720881 QKB720881 QAF720881 PQJ720881 PGN720881 OWR720881 OMV720881 OCZ720881 NTD720881 NJH720881 MZL720881 MPP720881 MFT720881 LVX720881 LMB720881 LCF720881 KSJ720881 KIN720881 JYR720881 JOV720881 JEZ720881 IVD720881 ILH720881 IBL720881 HRP720881 HHT720881 GXX720881 GOB720881 GEF720881 FUJ720881 FKN720881 FAR720881 EQV720881 EGZ720881 DXD720881 DNH720881 DDL720881 CTP720881 CJT720881 BZX720881 BQB720881 BGF720881 AWJ720881 AMN720881 ACR720881 SV720881 IZ720881 D720881 WVL655345 WLP655345 WBT655345 VRX655345 VIB655345 UYF655345 UOJ655345 UEN655345 TUR655345 TKV655345 TAZ655345 SRD655345 SHH655345 RXL655345 RNP655345 RDT655345 QTX655345 QKB655345 QAF655345 PQJ655345 PGN655345 OWR655345 OMV655345 OCZ655345 NTD655345 NJH655345 MZL655345 MPP655345 MFT655345 LVX655345 LMB655345 LCF655345 KSJ655345 KIN655345 JYR655345 JOV655345 JEZ655345 IVD655345 ILH655345 IBL655345 HRP655345 HHT655345 GXX655345 GOB655345 GEF655345 FUJ655345 FKN655345 FAR655345 EQV655345 EGZ655345 DXD655345 DNH655345 DDL655345 CTP655345 CJT655345 BZX655345 BQB655345 BGF655345 AWJ655345 AMN655345 ACR655345 SV655345 IZ655345 D655345 WVL589809 WLP589809 WBT589809 VRX589809 VIB589809 UYF589809 UOJ589809 UEN589809 TUR589809 TKV589809 TAZ589809 SRD589809 SHH589809 RXL589809 RNP589809 RDT589809 QTX589809 QKB589809 QAF589809 PQJ589809 PGN589809 OWR589809 OMV589809 OCZ589809 NTD589809 NJH589809 MZL589809 MPP589809 MFT589809 LVX589809 LMB589809 LCF589809 KSJ589809 KIN589809 JYR589809 JOV589809 JEZ589809 IVD589809 ILH589809 IBL589809 HRP589809 HHT589809 GXX589809 GOB589809 GEF589809 FUJ589809 FKN589809 FAR589809 EQV589809 EGZ589809 DXD589809 DNH589809 DDL589809 CTP589809 CJT589809 BZX589809 BQB589809 BGF589809 AWJ589809 AMN589809 ACR589809 SV589809 IZ589809 D589809 WVL524273 WLP524273 WBT524273 VRX524273 VIB524273 UYF524273 UOJ524273 UEN524273 TUR524273 TKV524273 TAZ524273 SRD524273 SHH524273 RXL524273 RNP524273 RDT524273 QTX524273 QKB524273 QAF524273 PQJ524273 PGN524273 OWR524273 OMV524273 OCZ524273 NTD524273 NJH524273 MZL524273 MPP524273 MFT524273 LVX524273 LMB524273 LCF524273 KSJ524273 KIN524273 JYR524273 JOV524273 JEZ524273 IVD524273 ILH524273 IBL524273 HRP524273 HHT524273 GXX524273 GOB524273 GEF524273 FUJ524273 FKN524273 FAR524273 EQV524273 EGZ524273 DXD524273 DNH524273 DDL524273 CTP524273 CJT524273 BZX524273 BQB524273 BGF524273 AWJ524273 AMN524273 ACR524273 SV524273 IZ524273 D524273 WVL458737 WLP458737 WBT458737 VRX458737 VIB458737 UYF458737 UOJ458737 UEN458737 TUR458737 TKV458737 TAZ458737 SRD458737 SHH458737 RXL458737 RNP458737 RDT458737 QTX458737 QKB458737 QAF458737 PQJ458737 PGN458737 OWR458737 OMV458737 OCZ458737 NTD458737 NJH458737 MZL458737 MPP458737 MFT458737 LVX458737 LMB458737 LCF458737 KSJ458737 KIN458737 JYR458737 JOV458737 JEZ458737 IVD458737 ILH458737 IBL458737 HRP458737 HHT458737 GXX458737 GOB458737 GEF458737 FUJ458737 FKN458737 FAR458737 EQV458737 EGZ458737 DXD458737 DNH458737 DDL458737 CTP458737 CJT458737 BZX458737 BQB458737 BGF458737 AWJ458737 AMN458737 ACR458737 SV458737 IZ458737 D458737 WVL393201 WLP393201 WBT393201 VRX393201 VIB393201 UYF393201 UOJ393201 UEN393201 TUR393201 TKV393201 TAZ393201 SRD393201 SHH393201 RXL393201 RNP393201 RDT393201 QTX393201 QKB393201 QAF393201 PQJ393201 PGN393201 OWR393201 OMV393201 OCZ393201 NTD393201 NJH393201 MZL393201 MPP393201 MFT393201 LVX393201 LMB393201 LCF393201 KSJ393201 KIN393201 JYR393201 JOV393201 JEZ393201 IVD393201 ILH393201 IBL393201 HRP393201 HHT393201 GXX393201 GOB393201 GEF393201 FUJ393201 FKN393201 FAR393201 EQV393201 EGZ393201 DXD393201 DNH393201 DDL393201 CTP393201 CJT393201 BZX393201 BQB393201 BGF393201 AWJ393201 AMN393201 ACR393201 SV393201 IZ393201 D393201 WVL327665 WLP327665 WBT327665 VRX327665 VIB327665 UYF327665 UOJ327665 UEN327665 TUR327665 TKV327665 TAZ327665 SRD327665 SHH327665 RXL327665 RNP327665 RDT327665 QTX327665 QKB327665 QAF327665 PQJ327665 PGN327665 OWR327665 OMV327665 OCZ327665 NTD327665 NJH327665 MZL327665 MPP327665 MFT327665 LVX327665 LMB327665 LCF327665 KSJ327665 KIN327665 JYR327665 JOV327665 JEZ327665 IVD327665 ILH327665 IBL327665 HRP327665 HHT327665 GXX327665 GOB327665 GEF327665 FUJ327665 FKN327665 FAR327665 EQV327665 EGZ327665 DXD327665 DNH327665 DDL327665 CTP327665 CJT327665 BZX327665 BQB327665 BGF327665 AWJ327665 AMN327665 ACR327665 SV327665 IZ327665 D327665 WVL262129 WLP262129 WBT262129 VRX262129 VIB262129 UYF262129 UOJ262129 UEN262129 TUR262129 TKV262129 TAZ262129 SRD262129 SHH262129 RXL262129 RNP262129 RDT262129 QTX262129 QKB262129 QAF262129 PQJ262129 PGN262129 OWR262129 OMV262129 OCZ262129 NTD262129 NJH262129 MZL262129 MPP262129 MFT262129 LVX262129 LMB262129 LCF262129 KSJ262129 KIN262129 JYR262129 JOV262129 JEZ262129 IVD262129 ILH262129 IBL262129 HRP262129 HHT262129 GXX262129 GOB262129 GEF262129 FUJ262129 FKN262129 FAR262129 EQV262129 EGZ262129 DXD262129 DNH262129 DDL262129 CTP262129 CJT262129 BZX262129 BQB262129 BGF262129 AWJ262129 AMN262129 ACR262129 SV262129 IZ262129 D262129 WVL196593 WLP196593 WBT196593 VRX196593 VIB196593 UYF196593 UOJ196593 UEN196593 TUR196593 TKV196593 TAZ196593 SRD196593 SHH196593 RXL196593 RNP196593 RDT196593 QTX196593 QKB196593 QAF196593 PQJ196593 PGN196593 OWR196593 OMV196593 OCZ196593 NTD196593 NJH196593 MZL196593 MPP196593 MFT196593 LVX196593 LMB196593 LCF196593 KSJ196593 KIN196593 JYR196593 JOV196593 JEZ196593 IVD196593 ILH196593 IBL196593 HRP196593 HHT196593 GXX196593 GOB196593 GEF196593 FUJ196593 FKN196593 FAR196593 EQV196593 EGZ196593 DXD196593 DNH196593 DDL196593 CTP196593 CJT196593 BZX196593 BQB196593 BGF196593 AWJ196593 AMN196593 ACR196593 SV196593 IZ196593 D196593 WVL131057 WLP131057 WBT131057 VRX131057 VIB131057 UYF131057 UOJ131057 UEN131057 TUR131057 TKV131057 TAZ131057 SRD131057 SHH131057 RXL131057 RNP131057 RDT131057 QTX131057 QKB131057 QAF131057 PQJ131057 PGN131057 OWR131057 OMV131057 OCZ131057 NTD131057 NJH131057 MZL131057 MPP131057 MFT131057 LVX131057 LMB131057 LCF131057 KSJ131057 KIN131057 JYR131057 JOV131057 JEZ131057 IVD131057 ILH131057 IBL131057 HRP131057 HHT131057 GXX131057 GOB131057 GEF131057 FUJ131057 FKN131057 FAR131057 EQV131057 EGZ131057 DXD131057 DNH131057 DDL131057 CTP131057 CJT131057 BZX131057 BQB131057 BGF131057 AWJ131057 AMN131057 ACR131057 SV131057 IZ131057 D131057 WVL65521 WLP65521 WBT65521 VRX65521 VIB65521 UYF65521 UOJ65521 UEN65521 TUR65521 TKV65521 TAZ65521 SRD65521 SHH65521 RXL65521 RNP65521 RDT65521 QTX65521 QKB65521 QAF65521 PQJ65521 PGN65521 OWR65521 OMV65521 OCZ65521 NTD65521 NJH65521 MZL65521 MPP65521 MFT65521 LVX65521 LMB65521 LCF65521 KSJ65521 KIN65521 JYR65521 JOV65521 JEZ65521 IVD65521 ILH65521 IBL65521 HRP65521 HHT65521 GXX65521 GOB65521 GEF65521 FUJ65521 FKN65521 FAR65521 EQV65521 EGZ65521 DXD65521 DNH65521 DDL65521 CTP65521 CJT65521 BZX65521 BQB65521 BGF65521 AWJ65521 AMN65521 ACR65521 SV65521 IZ65521 D65521 WVL983023 WLP983023 WBT983023 VRX983023 VIB983023 UYF983023 UOJ983023 UEN983023 TUR983023 TKV983023 TAZ983023 SRD983023 SHH983023 RXL983023 RNP983023 RDT983023 QTX983023 QKB983023 QAF983023 PQJ983023 PGN983023 OWR983023 OMV983023 OCZ983023 NTD983023 NJH983023 MZL983023 MPP983023 MFT983023 LVX983023 LMB983023 LCF983023 KSJ983023 KIN983023 JYR983023 JOV983023 JEZ983023 IVD983023 ILH983023 IBL983023 HRP983023 HHT983023 GXX983023 GOB983023 GEF983023 FUJ983023 FKN983023 FAR983023 EQV983023 EGZ983023 DXD983023 DNH983023 DDL983023 CTP983023 CJT983023 BZX983023 BQB983023 BGF983023 AWJ983023 AMN983023 ACR983023 SV983023 IZ983023 D983023 WVL917487 WLP917487 WBT917487 VRX917487 VIB917487 UYF917487 UOJ917487 UEN917487 TUR917487 TKV917487 TAZ917487 SRD917487 SHH917487 RXL917487 RNP917487 RDT917487 QTX917487 QKB917487 QAF917487 PQJ917487 PGN917487 OWR917487 OMV917487 OCZ917487 NTD917487 NJH917487 MZL917487 MPP917487 MFT917487 LVX917487 LMB917487 LCF917487 KSJ917487 KIN917487 JYR917487 JOV917487 JEZ917487 IVD917487 ILH917487 IBL917487 HRP917487 HHT917487 GXX917487 GOB917487 GEF917487 FUJ917487 FKN917487 FAR917487 EQV917487 EGZ917487 DXD917487 DNH917487 DDL917487 CTP917487 CJT917487 BZX917487 BQB917487 BGF917487 AWJ917487 AMN917487 ACR917487 SV917487 IZ917487 D917487 WVL851951 WLP851951 WBT851951 VRX851951 VIB851951 UYF851951 UOJ851951 UEN851951 TUR851951 TKV851951 TAZ851951 SRD851951 SHH851951 RXL851951 RNP851951 RDT851951 QTX851951 QKB851951 QAF851951 PQJ851951 PGN851951 OWR851951 OMV851951 OCZ851951 NTD851951 NJH851951 MZL851951 MPP851951 MFT851951 LVX851951 LMB851951 LCF851951 KSJ851951 KIN851951 JYR851951 JOV851951 JEZ851951 IVD851951 ILH851951 IBL851951 HRP851951 HHT851951 GXX851951 GOB851951 GEF851951 FUJ851951 FKN851951 FAR851951 EQV851951 EGZ851951 DXD851951 DNH851951 DDL851951 CTP851951 CJT851951 BZX851951 BQB851951 BGF851951 AWJ851951 AMN851951 ACR851951 SV851951 IZ851951 D851951 WVL786415 WLP786415 WBT786415 VRX786415 VIB786415 UYF786415 UOJ786415 UEN786415 TUR786415 TKV786415 TAZ786415 SRD786415 SHH786415 RXL786415 RNP786415 RDT786415 QTX786415 QKB786415 QAF786415 PQJ786415 PGN786415 OWR786415 OMV786415 OCZ786415 NTD786415 NJH786415 MZL786415 MPP786415 MFT786415 LVX786415 LMB786415 LCF786415 KSJ786415 KIN786415 JYR786415 JOV786415 JEZ786415 IVD786415 ILH786415 IBL786415 HRP786415 HHT786415 GXX786415 GOB786415 GEF786415 FUJ786415 FKN786415 FAR786415 EQV786415 EGZ786415 DXD786415 DNH786415 DDL786415 CTP786415 CJT786415 BZX786415 BQB786415 BGF786415 AWJ786415 AMN786415 ACR786415 SV786415 IZ786415 D786415 WVL720879 WLP720879 WBT720879 VRX720879 VIB720879 UYF720879 UOJ720879 UEN720879 TUR720879 TKV720879 TAZ720879 SRD720879 SHH720879 RXL720879 RNP720879 RDT720879 QTX720879 QKB720879 QAF720879 PQJ720879 PGN720879 OWR720879 OMV720879 OCZ720879 NTD720879 NJH720879 MZL720879 MPP720879 MFT720879 LVX720879 LMB720879 LCF720879 KSJ720879 KIN720879 JYR720879 JOV720879 JEZ720879 IVD720879 ILH720879 IBL720879 HRP720879 HHT720879 GXX720879 GOB720879 GEF720879 FUJ720879 FKN720879 FAR720879 EQV720879 EGZ720879 DXD720879 DNH720879 DDL720879 CTP720879 CJT720879 BZX720879 BQB720879 BGF720879 AWJ720879 AMN720879 ACR720879 SV720879 IZ720879 D720879 WVL655343 WLP655343 WBT655343 VRX655343 VIB655343 UYF655343 UOJ655343 UEN655343 TUR655343 TKV655343 TAZ655343 SRD655343 SHH655343 RXL655343 RNP655343 RDT655343 QTX655343 QKB655343 QAF655343 PQJ655343 PGN655343 OWR655343 OMV655343 OCZ655343 NTD655343 NJH655343 MZL655343 MPP655343 MFT655343 LVX655343 LMB655343 LCF655343 KSJ655343 KIN655343 JYR655343 JOV655343 JEZ655343 IVD655343 ILH655343 IBL655343 HRP655343 HHT655343 GXX655343 GOB655343 GEF655343 FUJ655343 FKN655343 FAR655343 EQV655343 EGZ655343 DXD655343 DNH655343 DDL655343 CTP655343 CJT655343 BZX655343 BQB655343 BGF655343 AWJ655343 AMN655343 ACR655343 SV655343 IZ655343 D655343 WVL589807 WLP589807 WBT589807 VRX589807 VIB589807 UYF589807 UOJ589807 UEN589807 TUR589807 TKV589807 TAZ589807 SRD589807 SHH589807 RXL589807 RNP589807 RDT589807 QTX589807 QKB589807 QAF589807 PQJ589807 PGN589807 OWR589807 OMV589807 OCZ589807 NTD589807 NJH589807 MZL589807 MPP589807 MFT589807 LVX589807 LMB589807 LCF589807 KSJ589807 KIN589807 JYR589807 JOV589807 JEZ589807 IVD589807 ILH589807 IBL589807 HRP589807 HHT589807 GXX589807 GOB589807 GEF589807 FUJ589807 FKN589807 FAR589807 EQV589807 EGZ589807 DXD589807 DNH589807 DDL589807 CTP589807 CJT589807 BZX589807 BQB589807 BGF589807 AWJ589807 AMN589807 ACR589807 SV589807 IZ589807 D589807 WVL524271 WLP524271 WBT524271 VRX524271 VIB524271 UYF524271 UOJ524271 UEN524271 TUR524271 TKV524271 TAZ524271 SRD524271 SHH524271 RXL524271 RNP524271 RDT524271 QTX524271 QKB524271 QAF524271 PQJ524271 PGN524271 OWR524271 OMV524271 OCZ524271 NTD524271 NJH524271 MZL524271 MPP524271 MFT524271 LVX524271 LMB524271 LCF524271 KSJ524271 KIN524271 JYR524271 JOV524271 JEZ524271 IVD524271 ILH524271 IBL524271 HRP524271 HHT524271 GXX524271 GOB524271 GEF524271 FUJ524271 FKN524271 FAR524271 EQV524271 EGZ524271 DXD524271 DNH524271 DDL524271 CTP524271 CJT524271 BZX524271 BQB524271 BGF524271 AWJ524271 AMN524271 ACR524271 SV524271 IZ524271 D524271 WVL458735 WLP458735 WBT458735 VRX458735 VIB458735 UYF458735 UOJ458735 UEN458735 TUR458735 TKV458735 TAZ458735 SRD458735 SHH458735 RXL458735 RNP458735 RDT458735 QTX458735 QKB458735 QAF458735 PQJ458735 PGN458735 OWR458735 OMV458735 OCZ458735 NTD458735 NJH458735 MZL458735 MPP458735 MFT458735 LVX458735 LMB458735 LCF458735 KSJ458735 KIN458735 JYR458735 JOV458735 JEZ458735 IVD458735 ILH458735 IBL458735 HRP458735 HHT458735 GXX458735 GOB458735 GEF458735 FUJ458735 FKN458735 FAR458735 EQV458735 EGZ458735 DXD458735 DNH458735 DDL458735 CTP458735 CJT458735 BZX458735 BQB458735 BGF458735 AWJ458735 AMN458735 ACR458735 SV458735 IZ458735 D458735 WVL393199 WLP393199 WBT393199 VRX393199 VIB393199 UYF393199 UOJ393199 UEN393199 TUR393199 TKV393199 TAZ393199 SRD393199 SHH393199 RXL393199 RNP393199 RDT393199 QTX393199 QKB393199 QAF393199 PQJ393199 PGN393199 OWR393199 OMV393199 OCZ393199 NTD393199 NJH393199 MZL393199 MPP393199 MFT393199 LVX393199 LMB393199 LCF393199 KSJ393199 KIN393199 JYR393199 JOV393199 JEZ393199 IVD393199 ILH393199 IBL393199 HRP393199 HHT393199 GXX393199 GOB393199 GEF393199 FUJ393199 FKN393199 FAR393199 EQV393199 EGZ393199 DXD393199 DNH393199 DDL393199 CTP393199 CJT393199 BZX393199 BQB393199 BGF393199 AWJ393199 AMN393199 ACR393199 SV393199 IZ393199 D393199 WVL327663 WLP327663 WBT327663 VRX327663 VIB327663 UYF327663 UOJ327663 UEN327663 TUR327663 TKV327663 TAZ327663 SRD327663 SHH327663 RXL327663 RNP327663 RDT327663 QTX327663 QKB327663 QAF327663 PQJ327663 PGN327663 OWR327663 OMV327663 OCZ327663 NTD327663 NJH327663 MZL327663 MPP327663 MFT327663 LVX327663 LMB327663 LCF327663 KSJ327663 KIN327663 JYR327663 JOV327663 JEZ327663 IVD327663 ILH327663 IBL327663 HRP327663 HHT327663 GXX327663 GOB327663 GEF327663 FUJ327663 FKN327663 FAR327663 EQV327663 EGZ327663 DXD327663 DNH327663 DDL327663 CTP327663 CJT327663 BZX327663 BQB327663 BGF327663 AWJ327663 AMN327663 ACR327663 SV327663 IZ327663 D327663 WVL262127 WLP262127 WBT262127 VRX262127 VIB262127 UYF262127 UOJ262127 UEN262127 TUR262127 TKV262127 TAZ262127 SRD262127 SHH262127 RXL262127 RNP262127 RDT262127 QTX262127 QKB262127 QAF262127 PQJ262127 PGN262127 OWR262127 OMV262127 OCZ262127 NTD262127 NJH262127 MZL262127 MPP262127 MFT262127 LVX262127 LMB262127 LCF262127 KSJ262127 KIN262127 JYR262127 JOV262127 JEZ262127 IVD262127 ILH262127 IBL262127 HRP262127 HHT262127 GXX262127 GOB262127 GEF262127 FUJ262127 FKN262127 FAR262127 EQV262127 EGZ262127 DXD262127 DNH262127 DDL262127 CTP262127 CJT262127 BZX262127 BQB262127 BGF262127 AWJ262127 AMN262127 ACR262127 SV262127 IZ262127 D262127 WVL196591 WLP196591 WBT196591 VRX196591 VIB196591 UYF196591 UOJ196591 UEN196591 TUR196591 TKV196591 TAZ196591 SRD196591 SHH196591 RXL196591 RNP196591 RDT196591 QTX196591 QKB196591 QAF196591 PQJ196591 PGN196591 OWR196591 OMV196591 OCZ196591 NTD196591 NJH196591 MZL196591 MPP196591 MFT196591 LVX196591 LMB196591 LCF196591 KSJ196591 KIN196591 JYR196591 JOV196591 JEZ196591 IVD196591 ILH196591 IBL196591 HRP196591 HHT196591 GXX196591 GOB196591 GEF196591 FUJ196591 FKN196591 FAR196591 EQV196591 EGZ196591 DXD196591 DNH196591 DDL196591 CTP196591 CJT196591 BZX196591 BQB196591 BGF196591 AWJ196591 AMN196591 ACR196591 SV196591 IZ196591 D196591 WVL131055 WLP131055 WBT131055 VRX131055 VIB131055 UYF131055 UOJ131055 UEN131055 TUR131055 TKV131055 TAZ131055 SRD131055 SHH131055 RXL131055 RNP131055 RDT131055 QTX131055 QKB131055 QAF131055 PQJ131055 PGN131055 OWR131055 OMV131055 OCZ131055 NTD131055 NJH131055 MZL131055 MPP131055 MFT131055 LVX131055 LMB131055 LCF131055 KSJ131055 KIN131055 JYR131055 JOV131055 JEZ131055 IVD131055 ILH131055 IBL131055 HRP131055 HHT131055 GXX131055 GOB131055 GEF131055 FUJ131055 FKN131055 FAR131055 EQV131055 EGZ131055 DXD131055 DNH131055 DDL131055 CTP131055 CJT131055 BZX131055 BQB131055 BGF131055 AWJ131055 AMN131055 ACR131055 SV131055 IZ131055 D131055 WVL65519 WLP65519 WBT65519 VRX65519 VIB65519 UYF65519 UOJ65519 UEN65519 TUR65519 TKV65519 TAZ65519 SRD65519 SHH65519 RXL65519 RNP65519 RDT65519 QTX65519 QKB65519 QAF65519 PQJ65519 PGN65519 OWR65519 OMV65519 OCZ65519 NTD65519 NJH65519 MZL65519 MPP65519 MFT65519 LVX65519 LMB65519 LCF65519 KSJ65519 KIN65519 JYR65519 JOV65519 JEZ65519 IVD65519 ILH65519 IBL65519 HRP65519 HHT65519 GXX65519 GOB65519 GEF65519 FUJ65519 FKN65519 FAR65519 EQV65519 EGZ65519 DXD65519 DNH65519 DDL65519 CTP65519 CJT65519 BZX65519 BQB65519 BGF65519 AWJ65519 AMN65519 ACR65519 SV65519 IZ65519 B65547:B65550 WVJ983051:WVJ983054 WLN983051:WLN983054 WBR983051:WBR983054 VRV983051:VRV983054 VHZ983051:VHZ983054 UYD983051:UYD983054 UOH983051:UOH983054 UEL983051:UEL983054 TUP983051:TUP983054 TKT983051:TKT983054 TAX983051:TAX983054 SRB983051:SRB983054 SHF983051:SHF983054 RXJ983051:RXJ983054 RNN983051:RNN983054 RDR983051:RDR983054 QTV983051:QTV983054 QJZ983051:QJZ983054 QAD983051:QAD983054 PQH983051:PQH983054 PGL983051:PGL983054 OWP983051:OWP983054 OMT983051:OMT983054 OCX983051:OCX983054 NTB983051:NTB983054 NJF983051:NJF983054 MZJ983051:MZJ983054 MPN983051:MPN983054 MFR983051:MFR983054 LVV983051:LVV983054 LLZ983051:LLZ983054 LCD983051:LCD983054 KSH983051:KSH983054 KIL983051:KIL983054 JYP983051:JYP983054 JOT983051:JOT983054 JEX983051:JEX983054 IVB983051:IVB983054 ILF983051:ILF983054 IBJ983051:IBJ983054 HRN983051:HRN983054 HHR983051:HHR983054 GXV983051:GXV983054 GNZ983051:GNZ983054 GED983051:GED983054 FUH983051:FUH983054 FKL983051:FKL983054 FAP983051:FAP983054 EQT983051:EQT983054 EGX983051:EGX983054 DXB983051:DXB983054 DNF983051:DNF983054 DDJ983051:DDJ983054 CTN983051:CTN983054 CJR983051:CJR983054 BZV983051:BZV983054 BPZ983051:BPZ983054 BGD983051:BGD983054 AWH983051:AWH983054 AML983051:AML983054 ACP983051:ACP983054 ST983051:ST983054 IX983051:IX983054 B983051:B983054 WVJ917515:WVJ917518 WLN917515:WLN917518 WBR917515:WBR917518 VRV917515:VRV917518 VHZ917515:VHZ917518 UYD917515:UYD917518 UOH917515:UOH917518 UEL917515:UEL917518 TUP917515:TUP917518 TKT917515:TKT917518 TAX917515:TAX917518 SRB917515:SRB917518 SHF917515:SHF917518 RXJ917515:RXJ917518 RNN917515:RNN917518 RDR917515:RDR917518 QTV917515:QTV917518 QJZ917515:QJZ917518 QAD917515:QAD917518 PQH917515:PQH917518 PGL917515:PGL917518 OWP917515:OWP917518 OMT917515:OMT917518 OCX917515:OCX917518 NTB917515:NTB917518 NJF917515:NJF917518 MZJ917515:MZJ917518 MPN917515:MPN917518 MFR917515:MFR917518 LVV917515:LVV917518 LLZ917515:LLZ917518 LCD917515:LCD917518 KSH917515:KSH917518 KIL917515:KIL917518 JYP917515:JYP917518 JOT917515:JOT917518 JEX917515:JEX917518 IVB917515:IVB917518 ILF917515:ILF917518 IBJ917515:IBJ917518 HRN917515:HRN917518 HHR917515:HHR917518 GXV917515:GXV917518 GNZ917515:GNZ917518 GED917515:GED917518 FUH917515:FUH917518 FKL917515:FKL917518 FAP917515:FAP917518 EQT917515:EQT917518 EGX917515:EGX917518 DXB917515:DXB917518 DNF917515:DNF917518 DDJ917515:DDJ917518 CTN917515:CTN917518 CJR917515:CJR917518 BZV917515:BZV917518 BPZ917515:BPZ917518 BGD917515:BGD917518 AWH917515:AWH917518 AML917515:AML917518 ACP917515:ACP917518 ST917515:ST917518 IX917515:IX917518 B917515:B917518 WVJ851979:WVJ851982 WLN851979:WLN851982 WBR851979:WBR851982 VRV851979:VRV851982 VHZ851979:VHZ851982 UYD851979:UYD851982 UOH851979:UOH851982 UEL851979:UEL851982 TUP851979:TUP851982 TKT851979:TKT851982 TAX851979:TAX851982 SRB851979:SRB851982 SHF851979:SHF851982 RXJ851979:RXJ851982 RNN851979:RNN851982 RDR851979:RDR851982 QTV851979:QTV851982 QJZ851979:QJZ851982 QAD851979:QAD851982 PQH851979:PQH851982 PGL851979:PGL851982 OWP851979:OWP851982 OMT851979:OMT851982 OCX851979:OCX851982 NTB851979:NTB851982 NJF851979:NJF851982 MZJ851979:MZJ851982 MPN851979:MPN851982 MFR851979:MFR851982 LVV851979:LVV851982 LLZ851979:LLZ851982 LCD851979:LCD851982 KSH851979:KSH851982 KIL851979:KIL851982 JYP851979:JYP851982 JOT851979:JOT851982 JEX851979:JEX851982 IVB851979:IVB851982 ILF851979:ILF851982 IBJ851979:IBJ851982 HRN851979:HRN851982 HHR851979:HHR851982 GXV851979:GXV851982 GNZ851979:GNZ851982 GED851979:GED851982 FUH851979:FUH851982 FKL851979:FKL851982 FAP851979:FAP851982 EQT851979:EQT851982 EGX851979:EGX851982 DXB851979:DXB851982 DNF851979:DNF851982 DDJ851979:DDJ851982 CTN851979:CTN851982 CJR851979:CJR851982 BZV851979:BZV851982 BPZ851979:BPZ851982 BGD851979:BGD851982 AWH851979:AWH851982 AML851979:AML851982 ACP851979:ACP851982 ST851979:ST851982 IX851979:IX851982 B851979:B851982 WVJ786443:WVJ786446 WLN786443:WLN786446 WBR786443:WBR786446 VRV786443:VRV786446 VHZ786443:VHZ786446 UYD786443:UYD786446 UOH786443:UOH786446 UEL786443:UEL786446 TUP786443:TUP786446 TKT786443:TKT786446 TAX786443:TAX786446 SRB786443:SRB786446 SHF786443:SHF786446 RXJ786443:RXJ786446 RNN786443:RNN786446 RDR786443:RDR786446 QTV786443:QTV786446 QJZ786443:QJZ786446 QAD786443:QAD786446 PQH786443:PQH786446 PGL786443:PGL786446 OWP786443:OWP786446 OMT786443:OMT786446 OCX786443:OCX786446 NTB786443:NTB786446 NJF786443:NJF786446 MZJ786443:MZJ786446 MPN786443:MPN786446 MFR786443:MFR786446 LVV786443:LVV786446 LLZ786443:LLZ786446 LCD786443:LCD786446 KSH786443:KSH786446 KIL786443:KIL786446 JYP786443:JYP786446 JOT786443:JOT786446 JEX786443:JEX786446 IVB786443:IVB786446 ILF786443:ILF786446 IBJ786443:IBJ786446 HRN786443:HRN786446 HHR786443:HHR786446 GXV786443:GXV786446 GNZ786443:GNZ786446 GED786443:GED786446 FUH786443:FUH786446 FKL786443:FKL786446 FAP786443:FAP786446 EQT786443:EQT786446 EGX786443:EGX786446 DXB786443:DXB786446 DNF786443:DNF786446 DDJ786443:DDJ786446 CTN786443:CTN786446 CJR786443:CJR786446 BZV786443:BZV786446 BPZ786443:BPZ786446 BGD786443:BGD786446 AWH786443:AWH786446 AML786443:AML786446 ACP786443:ACP786446 ST786443:ST786446 IX786443:IX786446 B786443:B786446 WVJ720907:WVJ720910 WLN720907:WLN720910 WBR720907:WBR720910 VRV720907:VRV720910 VHZ720907:VHZ720910 UYD720907:UYD720910 UOH720907:UOH720910 UEL720907:UEL720910 TUP720907:TUP720910 TKT720907:TKT720910 TAX720907:TAX720910 SRB720907:SRB720910 SHF720907:SHF720910 RXJ720907:RXJ720910 RNN720907:RNN720910 RDR720907:RDR720910 QTV720907:QTV720910 QJZ720907:QJZ720910 QAD720907:QAD720910 PQH720907:PQH720910 PGL720907:PGL720910 OWP720907:OWP720910 OMT720907:OMT720910 OCX720907:OCX720910 NTB720907:NTB720910 NJF720907:NJF720910 MZJ720907:MZJ720910 MPN720907:MPN720910 MFR720907:MFR720910 LVV720907:LVV720910 LLZ720907:LLZ720910 LCD720907:LCD720910 KSH720907:KSH720910 KIL720907:KIL720910 JYP720907:JYP720910 JOT720907:JOT720910 JEX720907:JEX720910 IVB720907:IVB720910 ILF720907:ILF720910 IBJ720907:IBJ720910 HRN720907:HRN720910 HHR720907:HHR720910 GXV720907:GXV720910 GNZ720907:GNZ720910 GED720907:GED720910 FUH720907:FUH720910 FKL720907:FKL720910 FAP720907:FAP720910 EQT720907:EQT720910 EGX720907:EGX720910 DXB720907:DXB720910 DNF720907:DNF720910 DDJ720907:DDJ720910 CTN720907:CTN720910 CJR720907:CJR720910 BZV720907:BZV720910 BPZ720907:BPZ720910 BGD720907:BGD720910 AWH720907:AWH720910 AML720907:AML720910 ACP720907:ACP720910 ST720907:ST720910 IX720907:IX720910 B720907:B720910 WVJ655371:WVJ655374 WLN655371:WLN655374 WBR655371:WBR655374 VRV655371:VRV655374 VHZ655371:VHZ655374 UYD655371:UYD655374 UOH655371:UOH655374 UEL655371:UEL655374 TUP655371:TUP655374 TKT655371:TKT655374 TAX655371:TAX655374 SRB655371:SRB655374 SHF655371:SHF655374 RXJ655371:RXJ655374 RNN655371:RNN655374 RDR655371:RDR655374 QTV655371:QTV655374 QJZ655371:QJZ655374 QAD655371:QAD655374 PQH655371:PQH655374 PGL655371:PGL655374 OWP655371:OWP655374 OMT655371:OMT655374 OCX655371:OCX655374 NTB655371:NTB655374 NJF655371:NJF655374 MZJ655371:MZJ655374 MPN655371:MPN655374 MFR655371:MFR655374 LVV655371:LVV655374 LLZ655371:LLZ655374 LCD655371:LCD655374 KSH655371:KSH655374 KIL655371:KIL655374 JYP655371:JYP655374 JOT655371:JOT655374 JEX655371:JEX655374 IVB655371:IVB655374 ILF655371:ILF655374 IBJ655371:IBJ655374 HRN655371:HRN655374 HHR655371:HHR655374 GXV655371:GXV655374 GNZ655371:GNZ655374 GED655371:GED655374 FUH655371:FUH655374 FKL655371:FKL655374 FAP655371:FAP655374 EQT655371:EQT655374 EGX655371:EGX655374 DXB655371:DXB655374 DNF655371:DNF655374 DDJ655371:DDJ655374 CTN655371:CTN655374 CJR655371:CJR655374 BZV655371:BZV655374 BPZ655371:BPZ655374 BGD655371:BGD655374 AWH655371:AWH655374 AML655371:AML655374 ACP655371:ACP655374 ST655371:ST655374 IX655371:IX655374 B655371:B655374 WVJ589835:WVJ589838 WLN589835:WLN589838 WBR589835:WBR589838 VRV589835:VRV589838 VHZ589835:VHZ589838 UYD589835:UYD589838 UOH589835:UOH589838 UEL589835:UEL589838 TUP589835:TUP589838 TKT589835:TKT589838 TAX589835:TAX589838 SRB589835:SRB589838 SHF589835:SHF589838 RXJ589835:RXJ589838 RNN589835:RNN589838 RDR589835:RDR589838 QTV589835:QTV589838 QJZ589835:QJZ589838 QAD589835:QAD589838 PQH589835:PQH589838 PGL589835:PGL589838 OWP589835:OWP589838 OMT589835:OMT589838 OCX589835:OCX589838 NTB589835:NTB589838 NJF589835:NJF589838 MZJ589835:MZJ589838 MPN589835:MPN589838 MFR589835:MFR589838 LVV589835:LVV589838 LLZ589835:LLZ589838 LCD589835:LCD589838 KSH589835:KSH589838 KIL589835:KIL589838 JYP589835:JYP589838 JOT589835:JOT589838 JEX589835:JEX589838 IVB589835:IVB589838 ILF589835:ILF589838 IBJ589835:IBJ589838 HRN589835:HRN589838 HHR589835:HHR589838 GXV589835:GXV589838 GNZ589835:GNZ589838 GED589835:GED589838 FUH589835:FUH589838 FKL589835:FKL589838 FAP589835:FAP589838 EQT589835:EQT589838 EGX589835:EGX589838 DXB589835:DXB589838 DNF589835:DNF589838 DDJ589835:DDJ589838 CTN589835:CTN589838 CJR589835:CJR589838 BZV589835:BZV589838 BPZ589835:BPZ589838 BGD589835:BGD589838 AWH589835:AWH589838 AML589835:AML589838 ACP589835:ACP589838 ST589835:ST589838 IX589835:IX589838 B589835:B589838 WVJ524299:WVJ524302 WLN524299:WLN524302 WBR524299:WBR524302 VRV524299:VRV524302 VHZ524299:VHZ524302 UYD524299:UYD524302 UOH524299:UOH524302 UEL524299:UEL524302 TUP524299:TUP524302 TKT524299:TKT524302 TAX524299:TAX524302 SRB524299:SRB524302 SHF524299:SHF524302 RXJ524299:RXJ524302 RNN524299:RNN524302 RDR524299:RDR524302 QTV524299:QTV524302 QJZ524299:QJZ524302 QAD524299:QAD524302 PQH524299:PQH524302 PGL524299:PGL524302 OWP524299:OWP524302 OMT524299:OMT524302 OCX524299:OCX524302 NTB524299:NTB524302 NJF524299:NJF524302 MZJ524299:MZJ524302 MPN524299:MPN524302 MFR524299:MFR524302 LVV524299:LVV524302 LLZ524299:LLZ524302 LCD524299:LCD524302 KSH524299:KSH524302 KIL524299:KIL524302 JYP524299:JYP524302 JOT524299:JOT524302 JEX524299:JEX524302 IVB524299:IVB524302 ILF524299:ILF524302 IBJ524299:IBJ524302 HRN524299:HRN524302 HHR524299:HHR524302 GXV524299:GXV524302 GNZ524299:GNZ524302 GED524299:GED524302 FUH524299:FUH524302 FKL524299:FKL524302 FAP524299:FAP524302 EQT524299:EQT524302 EGX524299:EGX524302 DXB524299:DXB524302 DNF524299:DNF524302 DDJ524299:DDJ524302 CTN524299:CTN524302 CJR524299:CJR524302 BZV524299:BZV524302 BPZ524299:BPZ524302 BGD524299:BGD524302 AWH524299:AWH524302 AML524299:AML524302 ACP524299:ACP524302 ST524299:ST524302 IX524299:IX524302 B524299:B524302 WVJ458763:WVJ458766 WLN458763:WLN458766 WBR458763:WBR458766 VRV458763:VRV458766 VHZ458763:VHZ458766 UYD458763:UYD458766 UOH458763:UOH458766 UEL458763:UEL458766 TUP458763:TUP458766 TKT458763:TKT458766 TAX458763:TAX458766 SRB458763:SRB458766 SHF458763:SHF458766 RXJ458763:RXJ458766 RNN458763:RNN458766 RDR458763:RDR458766 QTV458763:QTV458766 QJZ458763:QJZ458766 QAD458763:QAD458766 PQH458763:PQH458766 PGL458763:PGL458766 OWP458763:OWP458766 OMT458763:OMT458766 OCX458763:OCX458766 NTB458763:NTB458766 NJF458763:NJF458766 MZJ458763:MZJ458766 MPN458763:MPN458766 MFR458763:MFR458766 LVV458763:LVV458766 LLZ458763:LLZ458766 LCD458763:LCD458766 KSH458763:KSH458766 KIL458763:KIL458766 JYP458763:JYP458766 JOT458763:JOT458766 JEX458763:JEX458766 IVB458763:IVB458766 ILF458763:ILF458766 IBJ458763:IBJ458766 HRN458763:HRN458766 HHR458763:HHR458766 GXV458763:GXV458766 GNZ458763:GNZ458766 GED458763:GED458766 FUH458763:FUH458766 FKL458763:FKL458766 FAP458763:FAP458766 EQT458763:EQT458766 EGX458763:EGX458766 DXB458763:DXB458766 DNF458763:DNF458766 DDJ458763:DDJ458766 CTN458763:CTN458766 CJR458763:CJR458766 BZV458763:BZV458766 BPZ458763:BPZ458766 BGD458763:BGD458766 AWH458763:AWH458766 AML458763:AML458766 ACP458763:ACP458766 ST458763:ST458766 IX458763:IX458766 B458763:B458766 WVJ393227:WVJ393230 WLN393227:WLN393230 WBR393227:WBR393230 VRV393227:VRV393230 VHZ393227:VHZ393230 UYD393227:UYD393230 UOH393227:UOH393230 UEL393227:UEL393230 TUP393227:TUP393230 TKT393227:TKT393230 TAX393227:TAX393230 SRB393227:SRB393230 SHF393227:SHF393230 RXJ393227:RXJ393230 RNN393227:RNN393230 RDR393227:RDR393230 QTV393227:QTV393230 QJZ393227:QJZ393230 QAD393227:QAD393230 PQH393227:PQH393230 PGL393227:PGL393230 OWP393227:OWP393230 OMT393227:OMT393230 OCX393227:OCX393230 NTB393227:NTB393230 NJF393227:NJF393230 MZJ393227:MZJ393230 MPN393227:MPN393230 MFR393227:MFR393230 LVV393227:LVV393230 LLZ393227:LLZ393230 LCD393227:LCD393230 KSH393227:KSH393230 KIL393227:KIL393230 JYP393227:JYP393230 JOT393227:JOT393230 JEX393227:JEX393230 IVB393227:IVB393230 ILF393227:ILF393230 IBJ393227:IBJ393230 HRN393227:HRN393230 HHR393227:HHR393230 GXV393227:GXV393230 GNZ393227:GNZ393230 GED393227:GED393230 FUH393227:FUH393230 FKL393227:FKL393230 FAP393227:FAP393230 EQT393227:EQT393230 EGX393227:EGX393230 DXB393227:DXB393230 DNF393227:DNF393230 DDJ393227:DDJ393230 CTN393227:CTN393230 CJR393227:CJR393230 BZV393227:BZV393230 BPZ393227:BPZ393230 BGD393227:BGD393230 AWH393227:AWH393230 AML393227:AML393230 ACP393227:ACP393230 ST393227:ST393230 IX393227:IX393230 B393227:B393230 WVJ327691:WVJ327694 WLN327691:WLN327694 WBR327691:WBR327694 VRV327691:VRV327694 VHZ327691:VHZ327694 UYD327691:UYD327694 UOH327691:UOH327694 UEL327691:UEL327694 TUP327691:TUP327694 TKT327691:TKT327694 TAX327691:TAX327694 SRB327691:SRB327694 SHF327691:SHF327694 RXJ327691:RXJ327694 RNN327691:RNN327694 RDR327691:RDR327694 QTV327691:QTV327694 QJZ327691:QJZ327694 QAD327691:QAD327694 PQH327691:PQH327694 PGL327691:PGL327694 OWP327691:OWP327694 OMT327691:OMT327694 OCX327691:OCX327694 NTB327691:NTB327694 NJF327691:NJF327694 MZJ327691:MZJ327694 MPN327691:MPN327694 MFR327691:MFR327694 LVV327691:LVV327694 LLZ327691:LLZ327694 LCD327691:LCD327694 KSH327691:KSH327694 KIL327691:KIL327694 JYP327691:JYP327694 JOT327691:JOT327694 JEX327691:JEX327694 IVB327691:IVB327694 ILF327691:ILF327694 IBJ327691:IBJ327694 HRN327691:HRN327694 HHR327691:HHR327694 GXV327691:GXV327694 GNZ327691:GNZ327694 GED327691:GED327694 FUH327691:FUH327694 FKL327691:FKL327694 FAP327691:FAP327694 EQT327691:EQT327694 EGX327691:EGX327694 DXB327691:DXB327694 DNF327691:DNF327694 DDJ327691:DDJ327694 CTN327691:CTN327694 CJR327691:CJR327694 BZV327691:BZV327694 BPZ327691:BPZ327694 BGD327691:BGD327694 AWH327691:AWH327694 AML327691:AML327694 ACP327691:ACP327694 ST327691:ST327694 IX327691:IX327694 B327691:B327694 WVJ262155:WVJ262158 WLN262155:WLN262158 WBR262155:WBR262158 VRV262155:VRV262158 VHZ262155:VHZ262158 UYD262155:UYD262158 UOH262155:UOH262158 UEL262155:UEL262158 TUP262155:TUP262158 TKT262155:TKT262158 TAX262155:TAX262158 SRB262155:SRB262158 SHF262155:SHF262158 RXJ262155:RXJ262158 RNN262155:RNN262158 RDR262155:RDR262158 QTV262155:QTV262158 QJZ262155:QJZ262158 QAD262155:QAD262158 PQH262155:PQH262158 PGL262155:PGL262158 OWP262155:OWP262158 OMT262155:OMT262158 OCX262155:OCX262158 NTB262155:NTB262158 NJF262155:NJF262158 MZJ262155:MZJ262158 MPN262155:MPN262158 MFR262155:MFR262158 LVV262155:LVV262158 LLZ262155:LLZ262158 LCD262155:LCD262158 KSH262155:KSH262158 KIL262155:KIL262158 JYP262155:JYP262158 JOT262155:JOT262158 JEX262155:JEX262158 IVB262155:IVB262158 ILF262155:ILF262158 IBJ262155:IBJ262158 HRN262155:HRN262158 HHR262155:HHR262158 GXV262155:GXV262158 GNZ262155:GNZ262158 GED262155:GED262158 FUH262155:FUH262158 FKL262155:FKL262158 FAP262155:FAP262158 EQT262155:EQT262158 EGX262155:EGX262158 DXB262155:DXB262158 DNF262155:DNF262158 DDJ262155:DDJ262158 CTN262155:CTN262158 CJR262155:CJR262158 BZV262155:BZV262158 BPZ262155:BPZ262158 BGD262155:BGD262158 AWH262155:AWH262158 AML262155:AML262158 ACP262155:ACP262158 ST262155:ST262158 IX262155:IX262158 B262155:B262158 WVJ196619:WVJ196622 WLN196619:WLN196622 WBR196619:WBR196622 VRV196619:VRV196622 VHZ196619:VHZ196622 UYD196619:UYD196622 UOH196619:UOH196622 UEL196619:UEL196622 TUP196619:TUP196622 TKT196619:TKT196622 TAX196619:TAX196622 SRB196619:SRB196622 SHF196619:SHF196622 RXJ196619:RXJ196622 RNN196619:RNN196622 RDR196619:RDR196622 QTV196619:QTV196622 QJZ196619:QJZ196622 QAD196619:QAD196622 PQH196619:PQH196622 PGL196619:PGL196622 OWP196619:OWP196622 OMT196619:OMT196622 OCX196619:OCX196622 NTB196619:NTB196622 NJF196619:NJF196622 MZJ196619:MZJ196622 MPN196619:MPN196622 MFR196619:MFR196622 LVV196619:LVV196622 LLZ196619:LLZ196622 LCD196619:LCD196622 KSH196619:KSH196622 KIL196619:KIL196622 JYP196619:JYP196622 JOT196619:JOT196622 JEX196619:JEX196622 IVB196619:IVB196622 ILF196619:ILF196622 IBJ196619:IBJ196622 HRN196619:HRN196622 HHR196619:HHR196622 GXV196619:GXV196622 GNZ196619:GNZ196622 GED196619:GED196622 FUH196619:FUH196622 FKL196619:FKL196622 FAP196619:FAP196622 EQT196619:EQT196622 EGX196619:EGX196622 DXB196619:DXB196622 DNF196619:DNF196622 DDJ196619:DDJ196622 CTN196619:CTN196622 CJR196619:CJR196622 BZV196619:BZV196622 BPZ196619:BPZ196622 BGD196619:BGD196622 AWH196619:AWH196622 AML196619:AML196622 ACP196619:ACP196622 ST196619:ST196622 IX196619:IX196622 B196619:B196622 WVJ131083:WVJ131086 WLN131083:WLN131086 WBR131083:WBR131086 VRV131083:VRV131086 VHZ131083:VHZ131086 UYD131083:UYD131086 UOH131083:UOH131086 UEL131083:UEL131086 TUP131083:TUP131086 TKT131083:TKT131086 TAX131083:TAX131086 SRB131083:SRB131086 SHF131083:SHF131086 RXJ131083:RXJ131086 RNN131083:RNN131086 RDR131083:RDR131086 QTV131083:QTV131086 QJZ131083:QJZ131086 QAD131083:QAD131086 PQH131083:PQH131086 PGL131083:PGL131086 OWP131083:OWP131086 OMT131083:OMT131086 OCX131083:OCX131086 NTB131083:NTB131086 NJF131083:NJF131086 MZJ131083:MZJ131086 MPN131083:MPN131086 MFR131083:MFR131086 LVV131083:LVV131086 LLZ131083:LLZ131086 LCD131083:LCD131086 KSH131083:KSH131086 KIL131083:KIL131086 JYP131083:JYP131086 JOT131083:JOT131086 JEX131083:JEX131086 IVB131083:IVB131086 ILF131083:ILF131086 IBJ131083:IBJ131086 HRN131083:HRN131086 HHR131083:HHR131086 GXV131083:GXV131086 GNZ131083:GNZ131086 GED131083:GED131086 FUH131083:FUH131086 FKL131083:FKL131086 FAP131083:FAP131086 EQT131083:EQT131086 EGX131083:EGX131086 DXB131083:DXB131086 DNF131083:DNF131086 DDJ131083:DDJ131086 CTN131083:CTN131086 CJR131083:CJR131086 BZV131083:BZV131086 BPZ131083:BPZ131086 BGD131083:BGD131086 AWH131083:AWH131086 AML131083:AML131086 ACP131083:ACP131086 ST131083:ST131086 IX131083:IX131086 B131083:B131086 WVJ65547:WVJ65550 WLN65547:WLN65550 WBR65547:WBR65550 VRV65547:VRV65550 VHZ65547:VHZ65550 UYD65547:UYD65550 UOH65547:UOH65550 UEL65547:UEL65550 TUP65547:TUP65550 TKT65547:TKT65550 TAX65547:TAX65550 SRB65547:SRB65550 SHF65547:SHF65550 RXJ65547:RXJ65550 RNN65547:RNN65550 RDR65547:RDR65550 QTV65547:QTV65550 QJZ65547:QJZ65550 QAD65547:QAD65550 PQH65547:PQH65550 PGL65547:PGL65550 OWP65547:OWP65550 OMT65547:OMT65550 OCX65547:OCX65550 NTB65547:NTB65550 NJF65547:NJF65550 MZJ65547:MZJ65550 MPN65547:MPN65550 MFR65547:MFR65550 LVV65547:LVV65550 LLZ65547:LLZ65550 LCD65547:LCD65550 KSH65547:KSH65550 KIL65547:KIL65550 JYP65547:JYP65550 JOT65547:JOT65550 JEX65547:JEX65550 IVB65547:IVB65550 ILF65547:ILF65550 IBJ65547:IBJ65550 HRN65547:HRN65550 HHR65547:HHR65550 GXV65547:GXV65550 GNZ65547:GNZ65550 GED65547:GED65550 FUH65547:FUH65550 FKL65547:FKL65550 FAP65547:FAP65550 EQT65547:EQT65550 EGX65547:EGX65550 DXB65547:DXB65550 DNF65547:DNF65550 DDJ65547:DDJ65550 CTN65547:CTN65550 CJR65547:CJR65550 BZV65547:BZV65550 BPZ65547:BPZ65550 BGD65547:BGD65550 AWH65547:AWH65550 AML65547:AML65550 ACP65547:ACP65550 ST65547:ST65550 IX65547:IX65550 WVJ983037 B65529:B65531 IX65529:IX65531 ST65529:ST65531 ACP65529:ACP65531 AML65529:AML65531 AWH65529:AWH65531 BGD65529:BGD65531 BPZ65529:BPZ65531 BZV65529:BZV65531 CJR65529:CJR65531 CTN65529:CTN65531 DDJ65529:DDJ65531 DNF65529:DNF65531 DXB65529:DXB65531 EGX65529:EGX65531 EQT65529:EQT65531 FAP65529:FAP65531 FKL65529:FKL65531 FUH65529:FUH65531 GED65529:GED65531 GNZ65529:GNZ65531 GXV65529:GXV65531 HHR65529:HHR65531 HRN65529:HRN65531 IBJ65529:IBJ65531 ILF65529:ILF65531 IVB65529:IVB65531 JEX65529:JEX65531 JOT65529:JOT65531 JYP65529:JYP65531 KIL65529:KIL65531 KSH65529:KSH65531 LCD65529:LCD65531 LLZ65529:LLZ65531 LVV65529:LVV65531 MFR65529:MFR65531 MPN65529:MPN65531 MZJ65529:MZJ65531 NJF65529:NJF65531 NTB65529:NTB65531 OCX65529:OCX65531 OMT65529:OMT65531 OWP65529:OWP65531 PGL65529:PGL65531 PQH65529:PQH65531 QAD65529:QAD65531 QJZ65529:QJZ65531 QTV65529:QTV65531 RDR65529:RDR65531 RNN65529:RNN65531 RXJ65529:RXJ65531 SHF65529:SHF65531 SRB65529:SRB65531 TAX65529:TAX65531 TKT65529:TKT65531 TUP65529:TUP65531 UEL65529:UEL65531 UOH65529:UOH65531 UYD65529:UYD65531 VHZ65529:VHZ65531 VRV65529:VRV65531 WBR65529:WBR65531 WLN65529:WLN65531 WVJ65529:WVJ65531 B131065:B131067 IX131065:IX131067 ST131065:ST131067 ACP131065:ACP131067 AML131065:AML131067 AWH131065:AWH131067 BGD131065:BGD131067 BPZ131065:BPZ131067 BZV131065:BZV131067 CJR131065:CJR131067 CTN131065:CTN131067 DDJ131065:DDJ131067 DNF131065:DNF131067 DXB131065:DXB131067 EGX131065:EGX131067 EQT131065:EQT131067 FAP131065:FAP131067 FKL131065:FKL131067 FUH131065:FUH131067 GED131065:GED131067 GNZ131065:GNZ131067 GXV131065:GXV131067 HHR131065:HHR131067 HRN131065:HRN131067 IBJ131065:IBJ131067 ILF131065:ILF131067 IVB131065:IVB131067 JEX131065:JEX131067 JOT131065:JOT131067 JYP131065:JYP131067 KIL131065:KIL131067 KSH131065:KSH131067 LCD131065:LCD131067 LLZ131065:LLZ131067 LVV131065:LVV131067 MFR131065:MFR131067 MPN131065:MPN131067 MZJ131065:MZJ131067 NJF131065:NJF131067 NTB131065:NTB131067 OCX131065:OCX131067 OMT131065:OMT131067 OWP131065:OWP131067 PGL131065:PGL131067 PQH131065:PQH131067 QAD131065:QAD131067 QJZ131065:QJZ131067 QTV131065:QTV131067 RDR131065:RDR131067 RNN131065:RNN131067 RXJ131065:RXJ131067 SHF131065:SHF131067 SRB131065:SRB131067 TAX131065:TAX131067 TKT131065:TKT131067 TUP131065:TUP131067 UEL131065:UEL131067 UOH131065:UOH131067 UYD131065:UYD131067 VHZ131065:VHZ131067 VRV131065:VRV131067 WBR131065:WBR131067 WLN131065:WLN131067 WVJ131065:WVJ131067 B196601:B196603 IX196601:IX196603 ST196601:ST196603 ACP196601:ACP196603 AML196601:AML196603 AWH196601:AWH196603 BGD196601:BGD196603 BPZ196601:BPZ196603 BZV196601:BZV196603 CJR196601:CJR196603 CTN196601:CTN196603 DDJ196601:DDJ196603 DNF196601:DNF196603 DXB196601:DXB196603 EGX196601:EGX196603 EQT196601:EQT196603 FAP196601:FAP196603 FKL196601:FKL196603 FUH196601:FUH196603 GED196601:GED196603 GNZ196601:GNZ196603 GXV196601:GXV196603 HHR196601:HHR196603 HRN196601:HRN196603 IBJ196601:IBJ196603 ILF196601:ILF196603 IVB196601:IVB196603 JEX196601:JEX196603 JOT196601:JOT196603 JYP196601:JYP196603 KIL196601:KIL196603 KSH196601:KSH196603 LCD196601:LCD196603 LLZ196601:LLZ196603 LVV196601:LVV196603 MFR196601:MFR196603 MPN196601:MPN196603 MZJ196601:MZJ196603 NJF196601:NJF196603 NTB196601:NTB196603 OCX196601:OCX196603 OMT196601:OMT196603 OWP196601:OWP196603 PGL196601:PGL196603 PQH196601:PQH196603 QAD196601:QAD196603 QJZ196601:QJZ196603 QTV196601:QTV196603 RDR196601:RDR196603 RNN196601:RNN196603 RXJ196601:RXJ196603 SHF196601:SHF196603 SRB196601:SRB196603 TAX196601:TAX196603 TKT196601:TKT196603 TUP196601:TUP196603 UEL196601:UEL196603 UOH196601:UOH196603 UYD196601:UYD196603 VHZ196601:VHZ196603 VRV196601:VRV196603 WBR196601:WBR196603 WLN196601:WLN196603 WVJ196601:WVJ196603 B262137:B262139 IX262137:IX262139 ST262137:ST262139 ACP262137:ACP262139 AML262137:AML262139 AWH262137:AWH262139 BGD262137:BGD262139 BPZ262137:BPZ262139 BZV262137:BZV262139 CJR262137:CJR262139 CTN262137:CTN262139 DDJ262137:DDJ262139 DNF262137:DNF262139 DXB262137:DXB262139 EGX262137:EGX262139 EQT262137:EQT262139 FAP262137:FAP262139 FKL262137:FKL262139 FUH262137:FUH262139 GED262137:GED262139 GNZ262137:GNZ262139 GXV262137:GXV262139 HHR262137:HHR262139 HRN262137:HRN262139 IBJ262137:IBJ262139 ILF262137:ILF262139 IVB262137:IVB262139 JEX262137:JEX262139 JOT262137:JOT262139 JYP262137:JYP262139 KIL262137:KIL262139 KSH262137:KSH262139 LCD262137:LCD262139 LLZ262137:LLZ262139 LVV262137:LVV262139 MFR262137:MFR262139 MPN262137:MPN262139 MZJ262137:MZJ262139 NJF262137:NJF262139 NTB262137:NTB262139 OCX262137:OCX262139 OMT262137:OMT262139 OWP262137:OWP262139 PGL262137:PGL262139 PQH262137:PQH262139 QAD262137:QAD262139 QJZ262137:QJZ262139 QTV262137:QTV262139 RDR262137:RDR262139 RNN262137:RNN262139 RXJ262137:RXJ262139 SHF262137:SHF262139 SRB262137:SRB262139 TAX262137:TAX262139 TKT262137:TKT262139 TUP262137:TUP262139 UEL262137:UEL262139 UOH262137:UOH262139 UYD262137:UYD262139 VHZ262137:VHZ262139 VRV262137:VRV262139 WBR262137:WBR262139 WLN262137:WLN262139 WVJ262137:WVJ262139 B327673:B327675 IX327673:IX327675 ST327673:ST327675 ACP327673:ACP327675 AML327673:AML327675 AWH327673:AWH327675 BGD327673:BGD327675 BPZ327673:BPZ327675 BZV327673:BZV327675 CJR327673:CJR327675 CTN327673:CTN327675 DDJ327673:DDJ327675 DNF327673:DNF327675 DXB327673:DXB327675 EGX327673:EGX327675 EQT327673:EQT327675 FAP327673:FAP327675 FKL327673:FKL327675 FUH327673:FUH327675 GED327673:GED327675 GNZ327673:GNZ327675 GXV327673:GXV327675 HHR327673:HHR327675 HRN327673:HRN327675 IBJ327673:IBJ327675 ILF327673:ILF327675 IVB327673:IVB327675 JEX327673:JEX327675 JOT327673:JOT327675 JYP327673:JYP327675 KIL327673:KIL327675 KSH327673:KSH327675 LCD327673:LCD327675 LLZ327673:LLZ327675 LVV327673:LVV327675 MFR327673:MFR327675 MPN327673:MPN327675 MZJ327673:MZJ327675 NJF327673:NJF327675 NTB327673:NTB327675 OCX327673:OCX327675 OMT327673:OMT327675 OWP327673:OWP327675 PGL327673:PGL327675 PQH327673:PQH327675 QAD327673:QAD327675 QJZ327673:QJZ327675 QTV327673:QTV327675 RDR327673:RDR327675 RNN327673:RNN327675 RXJ327673:RXJ327675 SHF327673:SHF327675 SRB327673:SRB327675 TAX327673:TAX327675 TKT327673:TKT327675 TUP327673:TUP327675 UEL327673:UEL327675 UOH327673:UOH327675 UYD327673:UYD327675 VHZ327673:VHZ327675 VRV327673:VRV327675 WBR327673:WBR327675 WLN327673:WLN327675 WVJ327673:WVJ327675 B393209:B393211 IX393209:IX393211 ST393209:ST393211 ACP393209:ACP393211 AML393209:AML393211 AWH393209:AWH393211 BGD393209:BGD393211 BPZ393209:BPZ393211 BZV393209:BZV393211 CJR393209:CJR393211 CTN393209:CTN393211 DDJ393209:DDJ393211 DNF393209:DNF393211 DXB393209:DXB393211 EGX393209:EGX393211 EQT393209:EQT393211 FAP393209:FAP393211 FKL393209:FKL393211 FUH393209:FUH393211 GED393209:GED393211 GNZ393209:GNZ393211 GXV393209:GXV393211 HHR393209:HHR393211 HRN393209:HRN393211 IBJ393209:IBJ393211 ILF393209:ILF393211 IVB393209:IVB393211 JEX393209:JEX393211 JOT393209:JOT393211 JYP393209:JYP393211 KIL393209:KIL393211 KSH393209:KSH393211 LCD393209:LCD393211 LLZ393209:LLZ393211 LVV393209:LVV393211 MFR393209:MFR393211 MPN393209:MPN393211 MZJ393209:MZJ393211 NJF393209:NJF393211 NTB393209:NTB393211 OCX393209:OCX393211 OMT393209:OMT393211 OWP393209:OWP393211 PGL393209:PGL393211 PQH393209:PQH393211 QAD393209:QAD393211 QJZ393209:QJZ393211 QTV393209:QTV393211 RDR393209:RDR393211 RNN393209:RNN393211 RXJ393209:RXJ393211 SHF393209:SHF393211 SRB393209:SRB393211 TAX393209:TAX393211 TKT393209:TKT393211 TUP393209:TUP393211 UEL393209:UEL393211 UOH393209:UOH393211 UYD393209:UYD393211 VHZ393209:VHZ393211 VRV393209:VRV393211 WBR393209:WBR393211 WLN393209:WLN393211 WVJ393209:WVJ393211 B458745:B458747 IX458745:IX458747 ST458745:ST458747 ACP458745:ACP458747 AML458745:AML458747 AWH458745:AWH458747 BGD458745:BGD458747 BPZ458745:BPZ458747 BZV458745:BZV458747 CJR458745:CJR458747 CTN458745:CTN458747 DDJ458745:DDJ458747 DNF458745:DNF458747 DXB458745:DXB458747 EGX458745:EGX458747 EQT458745:EQT458747 FAP458745:FAP458747 FKL458745:FKL458747 FUH458745:FUH458747 GED458745:GED458747 GNZ458745:GNZ458747 GXV458745:GXV458747 HHR458745:HHR458747 HRN458745:HRN458747 IBJ458745:IBJ458747 ILF458745:ILF458747 IVB458745:IVB458747 JEX458745:JEX458747 JOT458745:JOT458747 JYP458745:JYP458747 KIL458745:KIL458747 KSH458745:KSH458747 LCD458745:LCD458747 LLZ458745:LLZ458747 LVV458745:LVV458747 MFR458745:MFR458747 MPN458745:MPN458747 MZJ458745:MZJ458747 NJF458745:NJF458747 NTB458745:NTB458747 OCX458745:OCX458747 OMT458745:OMT458747 OWP458745:OWP458747 PGL458745:PGL458747 PQH458745:PQH458747 QAD458745:QAD458747 QJZ458745:QJZ458747 QTV458745:QTV458747 RDR458745:RDR458747 RNN458745:RNN458747 RXJ458745:RXJ458747 SHF458745:SHF458747 SRB458745:SRB458747 TAX458745:TAX458747 TKT458745:TKT458747 TUP458745:TUP458747 UEL458745:UEL458747 UOH458745:UOH458747 UYD458745:UYD458747 VHZ458745:VHZ458747 VRV458745:VRV458747 WBR458745:WBR458747 WLN458745:WLN458747 WVJ458745:WVJ458747 B524281:B524283 IX524281:IX524283 ST524281:ST524283 ACP524281:ACP524283 AML524281:AML524283 AWH524281:AWH524283 BGD524281:BGD524283 BPZ524281:BPZ524283 BZV524281:BZV524283 CJR524281:CJR524283 CTN524281:CTN524283 DDJ524281:DDJ524283 DNF524281:DNF524283 DXB524281:DXB524283 EGX524281:EGX524283 EQT524281:EQT524283 FAP524281:FAP524283 FKL524281:FKL524283 FUH524281:FUH524283 GED524281:GED524283 GNZ524281:GNZ524283 GXV524281:GXV524283 HHR524281:HHR524283 HRN524281:HRN524283 IBJ524281:IBJ524283 ILF524281:ILF524283 IVB524281:IVB524283 JEX524281:JEX524283 JOT524281:JOT524283 JYP524281:JYP524283 KIL524281:KIL524283 KSH524281:KSH524283 LCD524281:LCD524283 LLZ524281:LLZ524283 LVV524281:LVV524283 MFR524281:MFR524283 MPN524281:MPN524283 MZJ524281:MZJ524283 NJF524281:NJF524283 NTB524281:NTB524283 OCX524281:OCX524283 OMT524281:OMT524283 OWP524281:OWP524283 PGL524281:PGL524283 PQH524281:PQH524283 QAD524281:QAD524283 QJZ524281:QJZ524283 QTV524281:QTV524283 RDR524281:RDR524283 RNN524281:RNN524283 RXJ524281:RXJ524283 SHF524281:SHF524283 SRB524281:SRB524283 TAX524281:TAX524283 TKT524281:TKT524283 TUP524281:TUP524283 UEL524281:UEL524283 UOH524281:UOH524283 UYD524281:UYD524283 VHZ524281:VHZ524283 VRV524281:VRV524283 WBR524281:WBR524283 WLN524281:WLN524283 WVJ524281:WVJ524283 B589817:B589819 IX589817:IX589819 ST589817:ST589819 ACP589817:ACP589819 AML589817:AML589819 AWH589817:AWH589819 BGD589817:BGD589819 BPZ589817:BPZ589819 BZV589817:BZV589819 CJR589817:CJR589819 CTN589817:CTN589819 DDJ589817:DDJ589819 DNF589817:DNF589819 DXB589817:DXB589819 EGX589817:EGX589819 EQT589817:EQT589819 FAP589817:FAP589819 FKL589817:FKL589819 FUH589817:FUH589819 GED589817:GED589819 GNZ589817:GNZ589819 GXV589817:GXV589819 HHR589817:HHR589819 HRN589817:HRN589819 IBJ589817:IBJ589819 ILF589817:ILF589819 IVB589817:IVB589819 JEX589817:JEX589819 JOT589817:JOT589819 JYP589817:JYP589819 KIL589817:KIL589819 KSH589817:KSH589819 LCD589817:LCD589819 LLZ589817:LLZ589819 LVV589817:LVV589819 MFR589817:MFR589819 MPN589817:MPN589819 MZJ589817:MZJ589819 NJF589817:NJF589819 NTB589817:NTB589819 OCX589817:OCX589819 OMT589817:OMT589819 OWP589817:OWP589819 PGL589817:PGL589819 PQH589817:PQH589819 QAD589817:QAD589819 QJZ589817:QJZ589819 QTV589817:QTV589819 RDR589817:RDR589819 RNN589817:RNN589819 RXJ589817:RXJ589819 SHF589817:SHF589819 SRB589817:SRB589819 TAX589817:TAX589819 TKT589817:TKT589819 TUP589817:TUP589819 UEL589817:UEL589819 UOH589817:UOH589819 UYD589817:UYD589819 VHZ589817:VHZ589819 VRV589817:VRV589819 WBR589817:WBR589819 WLN589817:WLN589819 WVJ589817:WVJ589819 B655353:B655355 IX655353:IX655355 ST655353:ST655355 ACP655353:ACP655355 AML655353:AML655355 AWH655353:AWH655355 BGD655353:BGD655355 BPZ655353:BPZ655355 BZV655353:BZV655355 CJR655353:CJR655355 CTN655353:CTN655355 DDJ655353:DDJ655355 DNF655353:DNF655355 DXB655353:DXB655355 EGX655353:EGX655355 EQT655353:EQT655355 FAP655353:FAP655355 FKL655353:FKL655355 FUH655353:FUH655355 GED655353:GED655355 GNZ655353:GNZ655355 GXV655353:GXV655355 HHR655353:HHR655355 HRN655353:HRN655355 IBJ655353:IBJ655355 ILF655353:ILF655355 IVB655353:IVB655355 JEX655353:JEX655355 JOT655353:JOT655355 JYP655353:JYP655355 KIL655353:KIL655355 KSH655353:KSH655355 LCD655353:LCD655355 LLZ655353:LLZ655355 LVV655353:LVV655355 MFR655353:MFR655355 MPN655353:MPN655355 MZJ655353:MZJ655355 NJF655353:NJF655355 NTB655353:NTB655355 OCX655353:OCX655355 OMT655353:OMT655355 OWP655353:OWP655355 PGL655353:PGL655355 PQH655353:PQH655355 QAD655353:QAD655355 QJZ655353:QJZ655355 QTV655353:QTV655355 RDR655353:RDR655355 RNN655353:RNN655355 RXJ655353:RXJ655355 SHF655353:SHF655355 SRB655353:SRB655355 TAX655353:TAX655355 TKT655353:TKT655355 TUP655353:TUP655355 UEL655353:UEL655355 UOH655353:UOH655355 UYD655353:UYD655355 VHZ655353:VHZ655355 VRV655353:VRV655355 WBR655353:WBR655355 WLN655353:WLN655355 WVJ655353:WVJ655355 B720889:B720891 IX720889:IX720891 ST720889:ST720891 ACP720889:ACP720891 AML720889:AML720891 AWH720889:AWH720891 BGD720889:BGD720891 BPZ720889:BPZ720891 BZV720889:BZV720891 CJR720889:CJR720891 CTN720889:CTN720891 DDJ720889:DDJ720891 DNF720889:DNF720891 DXB720889:DXB720891 EGX720889:EGX720891 EQT720889:EQT720891 FAP720889:FAP720891 FKL720889:FKL720891 FUH720889:FUH720891 GED720889:GED720891 GNZ720889:GNZ720891 GXV720889:GXV720891 HHR720889:HHR720891 HRN720889:HRN720891 IBJ720889:IBJ720891 ILF720889:ILF720891 IVB720889:IVB720891 JEX720889:JEX720891 JOT720889:JOT720891 JYP720889:JYP720891 KIL720889:KIL720891 KSH720889:KSH720891 LCD720889:LCD720891 LLZ720889:LLZ720891 LVV720889:LVV720891 MFR720889:MFR720891 MPN720889:MPN720891 MZJ720889:MZJ720891 NJF720889:NJF720891 NTB720889:NTB720891 OCX720889:OCX720891 OMT720889:OMT720891 OWP720889:OWP720891 PGL720889:PGL720891 PQH720889:PQH720891 QAD720889:QAD720891 QJZ720889:QJZ720891 QTV720889:QTV720891 RDR720889:RDR720891 RNN720889:RNN720891 RXJ720889:RXJ720891 SHF720889:SHF720891 SRB720889:SRB720891 TAX720889:TAX720891 TKT720889:TKT720891 TUP720889:TUP720891 UEL720889:UEL720891 UOH720889:UOH720891 UYD720889:UYD720891 VHZ720889:VHZ720891 VRV720889:VRV720891 WBR720889:WBR720891 WLN720889:WLN720891 WVJ720889:WVJ720891 B786425:B786427 IX786425:IX786427 ST786425:ST786427 ACP786425:ACP786427 AML786425:AML786427 AWH786425:AWH786427 BGD786425:BGD786427 BPZ786425:BPZ786427 BZV786425:BZV786427 CJR786425:CJR786427 CTN786425:CTN786427 DDJ786425:DDJ786427 DNF786425:DNF786427 DXB786425:DXB786427 EGX786425:EGX786427 EQT786425:EQT786427 FAP786425:FAP786427 FKL786425:FKL786427 FUH786425:FUH786427 GED786425:GED786427 GNZ786425:GNZ786427 GXV786425:GXV786427 HHR786425:HHR786427 HRN786425:HRN786427 IBJ786425:IBJ786427 ILF786425:ILF786427 IVB786425:IVB786427 JEX786425:JEX786427 JOT786425:JOT786427 JYP786425:JYP786427 KIL786425:KIL786427 KSH786425:KSH786427 LCD786425:LCD786427 LLZ786425:LLZ786427 LVV786425:LVV786427 MFR786425:MFR786427 MPN786425:MPN786427 MZJ786425:MZJ786427 NJF786425:NJF786427 NTB786425:NTB786427 OCX786425:OCX786427 OMT786425:OMT786427 OWP786425:OWP786427 PGL786425:PGL786427 PQH786425:PQH786427 QAD786425:QAD786427 QJZ786425:QJZ786427 QTV786425:QTV786427 RDR786425:RDR786427 RNN786425:RNN786427 RXJ786425:RXJ786427 SHF786425:SHF786427 SRB786425:SRB786427 TAX786425:TAX786427 TKT786425:TKT786427 TUP786425:TUP786427 UEL786425:UEL786427 UOH786425:UOH786427 UYD786425:UYD786427 VHZ786425:VHZ786427 VRV786425:VRV786427 WBR786425:WBR786427 WLN786425:WLN786427 WVJ786425:WVJ786427 B851961:B851963 IX851961:IX851963 ST851961:ST851963 ACP851961:ACP851963 AML851961:AML851963 AWH851961:AWH851963 BGD851961:BGD851963 BPZ851961:BPZ851963 BZV851961:BZV851963 CJR851961:CJR851963 CTN851961:CTN851963 DDJ851961:DDJ851963 DNF851961:DNF851963 DXB851961:DXB851963 EGX851961:EGX851963 EQT851961:EQT851963 FAP851961:FAP851963 FKL851961:FKL851963 FUH851961:FUH851963 GED851961:GED851963 GNZ851961:GNZ851963 GXV851961:GXV851963 HHR851961:HHR851963 HRN851961:HRN851963 IBJ851961:IBJ851963 ILF851961:ILF851963 IVB851961:IVB851963 JEX851961:JEX851963 JOT851961:JOT851963 JYP851961:JYP851963 KIL851961:KIL851963 KSH851961:KSH851963 LCD851961:LCD851963 LLZ851961:LLZ851963 LVV851961:LVV851963 MFR851961:MFR851963 MPN851961:MPN851963 MZJ851961:MZJ851963 NJF851961:NJF851963 NTB851961:NTB851963 OCX851961:OCX851963 OMT851961:OMT851963 OWP851961:OWP851963 PGL851961:PGL851963 PQH851961:PQH851963 QAD851961:QAD851963 QJZ851961:QJZ851963 QTV851961:QTV851963 RDR851961:RDR851963 RNN851961:RNN851963 RXJ851961:RXJ851963 SHF851961:SHF851963 SRB851961:SRB851963 TAX851961:TAX851963 TKT851961:TKT851963 TUP851961:TUP851963 UEL851961:UEL851963 UOH851961:UOH851963 UYD851961:UYD851963 VHZ851961:VHZ851963 VRV851961:VRV851963 WBR851961:WBR851963 WLN851961:WLN851963 WVJ851961:WVJ851963 B917497:B917499 IX917497:IX917499 ST917497:ST917499 ACP917497:ACP917499 AML917497:AML917499 AWH917497:AWH917499 BGD917497:BGD917499 BPZ917497:BPZ917499 BZV917497:BZV917499 CJR917497:CJR917499 CTN917497:CTN917499 DDJ917497:DDJ917499 DNF917497:DNF917499 DXB917497:DXB917499 EGX917497:EGX917499 EQT917497:EQT917499 FAP917497:FAP917499 FKL917497:FKL917499 FUH917497:FUH917499 GED917497:GED917499 GNZ917497:GNZ917499 GXV917497:GXV917499 HHR917497:HHR917499 HRN917497:HRN917499 IBJ917497:IBJ917499 ILF917497:ILF917499 IVB917497:IVB917499 JEX917497:JEX917499 JOT917497:JOT917499 JYP917497:JYP917499 KIL917497:KIL917499 KSH917497:KSH917499 LCD917497:LCD917499 LLZ917497:LLZ917499 LVV917497:LVV917499 MFR917497:MFR917499 MPN917497:MPN917499 MZJ917497:MZJ917499 NJF917497:NJF917499 NTB917497:NTB917499 OCX917497:OCX917499 OMT917497:OMT917499 OWP917497:OWP917499 PGL917497:PGL917499 PQH917497:PQH917499 QAD917497:QAD917499 QJZ917497:QJZ917499 QTV917497:QTV917499 RDR917497:RDR917499 RNN917497:RNN917499 RXJ917497:RXJ917499 SHF917497:SHF917499 SRB917497:SRB917499 TAX917497:TAX917499 TKT917497:TKT917499 TUP917497:TUP917499 UEL917497:UEL917499 UOH917497:UOH917499 UYD917497:UYD917499 VHZ917497:VHZ917499 VRV917497:VRV917499 WBR917497:WBR917499 WLN917497:WLN917499 WVJ917497:WVJ917499 B983033:B983035 IX983033:IX983035 ST983033:ST983035 ACP983033:ACP983035 AML983033:AML983035 AWH983033:AWH983035 BGD983033:BGD983035 BPZ983033:BPZ983035 BZV983033:BZV983035 CJR983033:CJR983035 CTN983033:CTN983035 DDJ983033:DDJ983035 DNF983033:DNF983035 DXB983033:DXB983035 EGX983033:EGX983035 EQT983033:EQT983035 FAP983033:FAP983035 FKL983033:FKL983035 FUH983033:FUH983035 GED983033:GED983035 GNZ983033:GNZ983035 GXV983033:GXV983035 HHR983033:HHR983035 HRN983033:HRN983035 IBJ983033:IBJ983035 ILF983033:ILF983035 IVB983033:IVB983035 JEX983033:JEX983035 JOT983033:JOT983035 JYP983033:JYP983035 KIL983033:KIL983035 KSH983033:KSH983035 LCD983033:LCD983035 LLZ983033:LLZ983035 LVV983033:LVV983035 MFR983033:MFR983035 MPN983033:MPN983035 MZJ983033:MZJ983035 NJF983033:NJF983035 NTB983033:NTB983035 OCX983033:OCX983035 OMT983033:OMT983035 OWP983033:OWP983035 PGL983033:PGL983035 PQH983033:PQH983035 QAD983033:QAD983035 QJZ983033:QJZ983035 QTV983033:QTV983035 RDR983033:RDR983035 RNN983033:RNN983035 RXJ983033:RXJ983035 SHF983033:SHF983035 SRB983033:SRB983035 TAX983033:TAX983035 TKT983033:TKT983035 TUP983033:TUP983035 UEL983033:UEL983035 UOH983033:UOH983035 UYD983033:UYD983035 VHZ983033:VHZ983035 VRV983033:VRV983035 WBR983033:WBR983035 WLN983033:WLN983035 WVJ983033:WVJ983035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B65518 WVJ983020 WLN983020 WBR983020 VRV983020 VHZ983020 UYD983020 UOH983020 UEL983020 TUP983020 TKT983020 TAX983020 SRB983020 SHF983020 RXJ983020 RNN983020 RDR983020 QTV983020 QJZ983020 QAD983020 PQH983020 PGL983020 OWP983020 OMT983020 OCX983020 NTB983020 NJF983020 MZJ983020 MPN983020 MFR983020 LVV983020 LLZ983020 LCD983020 KSH983020 KIL983020 JYP983020 JOT983020 JEX983020 IVB983020 ILF983020 IBJ983020 HRN983020 HHR983020 GXV983020 GNZ983020 GED983020 FUH983020 FKL983020 FAP983020 EQT983020 EGX983020 DXB983020 DNF983020 DDJ983020 CTN983020 CJR983020 BZV983020 BPZ983020 BGD983020 AWH983020 AML983020 ACP983020 ST983020 IX983020 B983020 WVJ917484 WLN917484 WBR917484 VRV917484 VHZ917484 UYD917484 UOH917484 UEL917484 TUP917484 TKT917484 TAX917484 SRB917484 SHF917484 RXJ917484 RNN917484 RDR917484 QTV917484 QJZ917484 QAD917484 PQH917484 PGL917484 OWP917484 OMT917484 OCX917484 NTB917484 NJF917484 MZJ917484 MPN917484 MFR917484 LVV917484 LLZ917484 LCD917484 KSH917484 KIL917484 JYP917484 JOT917484 JEX917484 IVB917484 ILF917484 IBJ917484 HRN917484 HHR917484 GXV917484 GNZ917484 GED917484 FUH917484 FKL917484 FAP917484 EQT917484 EGX917484 DXB917484 DNF917484 DDJ917484 CTN917484 CJR917484 BZV917484 BPZ917484 BGD917484 AWH917484 AML917484 ACP917484 ST917484 IX917484 B917484 WVJ851948 WLN851948 WBR851948 VRV851948 VHZ851948 UYD851948 UOH851948 UEL851948 TUP851948 TKT851948 TAX851948 SRB851948 SHF851948 RXJ851948 RNN851948 RDR851948 QTV851948 QJZ851948 QAD851948 PQH851948 PGL851948 OWP851948 OMT851948 OCX851948 NTB851948 NJF851948 MZJ851948 MPN851948 MFR851948 LVV851948 LLZ851948 LCD851948 KSH851948 KIL851948 JYP851948 JOT851948 JEX851948 IVB851948 ILF851948 IBJ851948 HRN851948 HHR851948 GXV851948 GNZ851948 GED851948 FUH851948 FKL851948 FAP851948 EQT851948 EGX851948 DXB851948 DNF851948 DDJ851948 CTN851948 CJR851948 BZV851948 BPZ851948 BGD851948 AWH851948 AML851948 ACP851948 ST851948 IX851948 B851948 WVJ786412 WLN786412 WBR786412 VRV786412 VHZ786412 UYD786412 UOH786412 UEL786412 TUP786412 TKT786412 TAX786412 SRB786412 SHF786412 RXJ786412 RNN786412 RDR786412 QTV786412 QJZ786412 QAD786412 PQH786412 PGL786412 OWP786412 OMT786412 OCX786412 NTB786412 NJF786412 MZJ786412 MPN786412 MFR786412 LVV786412 LLZ786412 LCD786412 KSH786412 KIL786412 JYP786412 JOT786412 JEX786412 IVB786412 ILF786412 IBJ786412 HRN786412 HHR786412 GXV786412 GNZ786412 GED786412 FUH786412 FKL786412 FAP786412 EQT786412 EGX786412 DXB786412 DNF786412 DDJ786412 CTN786412 CJR786412 BZV786412 BPZ786412 BGD786412 AWH786412 AML786412 ACP786412 ST786412 IX786412 B786412 WVJ720876 WLN720876 WBR720876 VRV720876 VHZ720876 UYD720876 UOH720876 UEL720876 TUP720876 TKT720876 TAX720876 SRB720876 SHF720876 RXJ720876 RNN720876 RDR720876 QTV720876 QJZ720876 QAD720876 PQH720876 PGL720876 OWP720876 OMT720876 OCX720876 NTB720876 NJF720876 MZJ720876 MPN720876 MFR720876 LVV720876 LLZ720876 LCD720876 KSH720876 KIL720876 JYP720876 JOT720876 JEX720876 IVB720876 ILF720876 IBJ720876 HRN720876 HHR720876 GXV720876 GNZ720876 GED720876 FUH720876 FKL720876 FAP720876 EQT720876 EGX720876 DXB720876 DNF720876 DDJ720876 CTN720876 CJR720876 BZV720876 BPZ720876 BGD720876 AWH720876 AML720876 ACP720876 ST720876 IX720876 B720876 WVJ655340 WLN655340 WBR655340 VRV655340 VHZ655340 UYD655340 UOH655340 UEL655340 TUP655340 TKT655340 TAX655340 SRB655340 SHF655340 RXJ655340 RNN655340 RDR655340 QTV655340 QJZ655340 QAD655340 PQH655340 PGL655340 OWP655340 OMT655340 OCX655340 NTB655340 NJF655340 MZJ655340 MPN655340 MFR655340 LVV655340 LLZ655340 LCD655340 KSH655340 KIL655340 JYP655340 JOT655340 JEX655340 IVB655340 ILF655340 IBJ655340 HRN655340 HHR655340 GXV655340 GNZ655340 GED655340 FUH655340 FKL655340 FAP655340 EQT655340 EGX655340 DXB655340 DNF655340 DDJ655340 CTN655340 CJR655340 BZV655340 BPZ655340 BGD655340 AWH655340 AML655340 ACP655340 ST655340 IX655340 B655340 WVJ589804 WLN589804 WBR589804 VRV589804 VHZ589804 UYD589804 UOH589804 UEL589804 TUP589804 TKT589804 TAX589804 SRB589804 SHF589804 RXJ589804 RNN589804 RDR589804 QTV589804 QJZ589804 QAD589804 PQH589804 PGL589804 OWP589804 OMT589804 OCX589804 NTB589804 NJF589804 MZJ589804 MPN589804 MFR589804 LVV589804 LLZ589804 LCD589804 KSH589804 KIL589804 JYP589804 JOT589804 JEX589804 IVB589804 ILF589804 IBJ589804 HRN589804 HHR589804 GXV589804 GNZ589804 GED589804 FUH589804 FKL589804 FAP589804 EQT589804 EGX589804 DXB589804 DNF589804 DDJ589804 CTN589804 CJR589804 BZV589804 BPZ589804 BGD589804 AWH589804 AML589804 ACP589804 ST589804 IX589804 B589804 WVJ524268 WLN524268 WBR524268 VRV524268 VHZ524268 UYD524268 UOH524268 UEL524268 TUP524268 TKT524268 TAX524268 SRB524268 SHF524268 RXJ524268 RNN524268 RDR524268 QTV524268 QJZ524268 QAD524268 PQH524268 PGL524268 OWP524268 OMT524268 OCX524268 NTB524268 NJF524268 MZJ524268 MPN524268 MFR524268 LVV524268 LLZ524268 LCD524268 KSH524268 KIL524268 JYP524268 JOT524268 JEX524268 IVB524268 ILF524268 IBJ524268 HRN524268 HHR524268 GXV524268 GNZ524268 GED524268 FUH524268 FKL524268 FAP524268 EQT524268 EGX524268 DXB524268 DNF524268 DDJ524268 CTN524268 CJR524268 BZV524268 BPZ524268 BGD524268 AWH524268 AML524268 ACP524268 ST524268 IX524268 B524268 WVJ458732 WLN458732 WBR458732 VRV458732 VHZ458732 UYD458732 UOH458732 UEL458732 TUP458732 TKT458732 TAX458732 SRB458732 SHF458732 RXJ458732 RNN458732 RDR458732 QTV458732 QJZ458732 QAD458732 PQH458732 PGL458732 OWP458732 OMT458732 OCX458732 NTB458732 NJF458732 MZJ458732 MPN458732 MFR458732 LVV458732 LLZ458732 LCD458732 KSH458732 KIL458732 JYP458732 JOT458732 JEX458732 IVB458732 ILF458732 IBJ458732 HRN458732 HHR458732 GXV458732 GNZ458732 GED458732 FUH458732 FKL458732 FAP458732 EQT458732 EGX458732 DXB458732 DNF458732 DDJ458732 CTN458732 CJR458732 BZV458732 BPZ458732 BGD458732 AWH458732 AML458732 ACP458732 ST458732 IX458732 B458732 WVJ393196 WLN393196 WBR393196 VRV393196 VHZ393196 UYD393196 UOH393196 UEL393196 TUP393196 TKT393196 TAX393196 SRB393196 SHF393196 RXJ393196 RNN393196 RDR393196 QTV393196 QJZ393196 QAD393196 PQH393196 PGL393196 OWP393196 OMT393196 OCX393196 NTB393196 NJF393196 MZJ393196 MPN393196 MFR393196 LVV393196 LLZ393196 LCD393196 KSH393196 KIL393196 JYP393196 JOT393196 JEX393196 IVB393196 ILF393196 IBJ393196 HRN393196 HHR393196 GXV393196 GNZ393196 GED393196 FUH393196 FKL393196 FAP393196 EQT393196 EGX393196 DXB393196 DNF393196 DDJ393196 CTN393196 CJR393196 BZV393196 BPZ393196 BGD393196 AWH393196 AML393196 ACP393196 ST393196 IX393196 B393196 WVJ327660 WLN327660 WBR327660 VRV327660 VHZ327660 UYD327660 UOH327660 UEL327660 TUP327660 TKT327660 TAX327660 SRB327660 SHF327660 RXJ327660 RNN327660 RDR327660 QTV327660 QJZ327660 QAD327660 PQH327660 PGL327660 OWP327660 OMT327660 OCX327660 NTB327660 NJF327660 MZJ327660 MPN327660 MFR327660 LVV327660 LLZ327660 LCD327660 KSH327660 KIL327660 JYP327660 JOT327660 JEX327660 IVB327660 ILF327660 IBJ327660 HRN327660 HHR327660 GXV327660 GNZ327660 GED327660 FUH327660 FKL327660 FAP327660 EQT327660 EGX327660 DXB327660 DNF327660 DDJ327660 CTN327660 CJR327660 BZV327660 BPZ327660 BGD327660 AWH327660 AML327660 ACP327660 ST327660 IX327660 B327660 WVJ262124 WLN262124 WBR262124 VRV262124 VHZ262124 UYD262124 UOH262124 UEL262124 TUP262124 TKT262124 TAX262124 SRB262124 SHF262124 RXJ262124 RNN262124 RDR262124 QTV262124 QJZ262124 QAD262124 PQH262124 PGL262124 OWP262124 OMT262124 OCX262124 NTB262124 NJF262124 MZJ262124 MPN262124 MFR262124 LVV262124 LLZ262124 LCD262124 KSH262124 KIL262124 JYP262124 JOT262124 JEX262124 IVB262124 ILF262124 IBJ262124 HRN262124 HHR262124 GXV262124 GNZ262124 GED262124 FUH262124 FKL262124 FAP262124 EQT262124 EGX262124 DXB262124 DNF262124 DDJ262124 CTN262124 CJR262124 BZV262124 BPZ262124 BGD262124 AWH262124 AML262124 ACP262124 ST262124 IX262124 B262124 WVJ196588 WLN196588 WBR196588 VRV196588 VHZ196588 UYD196588 UOH196588 UEL196588 TUP196588 TKT196588 TAX196588 SRB196588 SHF196588 RXJ196588 RNN196588 RDR196588 QTV196588 QJZ196588 QAD196588 PQH196588 PGL196588 OWP196588 OMT196588 OCX196588 NTB196588 NJF196588 MZJ196588 MPN196588 MFR196588 LVV196588 LLZ196588 LCD196588 KSH196588 KIL196588 JYP196588 JOT196588 JEX196588 IVB196588 ILF196588 IBJ196588 HRN196588 HHR196588 GXV196588 GNZ196588 GED196588 FUH196588 FKL196588 FAP196588 EQT196588 EGX196588 DXB196588 DNF196588 DDJ196588 CTN196588 CJR196588 BZV196588 BPZ196588 BGD196588 AWH196588 AML196588 ACP196588 ST196588 IX196588 B196588 WVJ131052 WLN131052 WBR131052 VRV131052 VHZ131052 UYD131052 UOH131052 UEL131052 TUP131052 TKT131052 TAX131052 SRB131052 SHF131052 RXJ131052 RNN131052 RDR131052 QTV131052 QJZ131052 QAD131052 PQH131052 PGL131052 OWP131052 OMT131052 OCX131052 NTB131052 NJF131052 MZJ131052 MPN131052 MFR131052 LVV131052 LLZ131052 LCD131052 KSH131052 KIL131052 JYP131052 JOT131052 JEX131052 IVB131052 ILF131052 IBJ131052 HRN131052 HHR131052 GXV131052 GNZ131052 GED131052 FUH131052 FKL131052 FAP131052 EQT131052 EGX131052 DXB131052 DNF131052 DDJ131052 CTN131052 CJR131052 BZV131052 BPZ131052 BGD131052 AWH131052 AML131052 ACP131052 ST131052 IX131052 B131052 WVJ65516 WLN65516 WBR65516 VRV65516 VHZ65516 UYD65516 UOH65516 UEL65516 TUP65516 TKT65516 TAX65516 SRB65516 SHF65516 RXJ65516 RNN65516 RDR65516 QTV65516 QJZ65516 QAD65516 PQH65516 PGL65516 OWP65516 OMT65516 OCX65516 NTB65516 NJF65516 MZJ65516 MPN65516 MFR65516 LVV65516 LLZ65516 LCD65516 KSH65516 KIL65516 JYP65516 JOT65516 JEX65516 IVB65516 ILF65516 IBJ65516 HRN65516 HHR65516 GXV65516 GNZ65516 GED65516 FUH65516 FKL65516 FAP65516 EQT65516 EGX65516 DXB65516 DNF65516 DDJ65516 CTN65516 CJR65516 BZV65516 BPZ65516 BGD65516 AWH65516 AML65516 ACP65516 ST65516 IX65516 B65516 WVJ983022 WLN983022 WBR983022 VRV983022 VHZ983022 UYD983022 UOH983022 UEL983022 TUP983022 TKT983022 TAX983022 SRB983022 SHF983022 RXJ983022 RNN983022 RDR983022 QTV983022 QJZ983022 QAD983022 PQH983022 PGL983022 OWP983022 OMT983022 OCX983022 NTB983022 NJF983022 MZJ983022 MPN983022 MFR983022 LVV983022 LLZ983022 LCD983022 KSH983022 KIL983022 JYP983022 JOT983022 JEX983022 IVB983022 ILF983022 IBJ983022 HRN983022 HHR983022 GXV983022 GNZ983022 GED983022 FUH983022 FKL983022 FAP983022 EQT983022 EGX983022 DXB983022 DNF983022 DDJ983022 CTN983022 CJR983022 BZV983022 BPZ983022 BGD983022 AWH983022 AML983022 ACP983022 ST983022 IX983022 B983022 WVJ917486 WLN917486 WBR917486 VRV917486 VHZ917486 UYD917486 UOH917486 UEL917486 TUP917486 TKT917486 TAX917486 SRB917486 SHF917486 RXJ917486 RNN917486 RDR917486 QTV917486 QJZ917486 QAD917486 PQH917486 PGL917486 OWP917486 OMT917486 OCX917486 NTB917486 NJF917486 MZJ917486 MPN917486 MFR917486 LVV917486 LLZ917486 LCD917486 KSH917486 KIL917486 JYP917486 JOT917486 JEX917486 IVB917486 ILF917486 IBJ917486 HRN917486 HHR917486 GXV917486 GNZ917486 GED917486 FUH917486 FKL917486 FAP917486 EQT917486 EGX917486 DXB917486 DNF917486 DDJ917486 CTN917486 CJR917486 BZV917486 BPZ917486 BGD917486 AWH917486 AML917486 ACP917486 ST917486 IX917486 B917486 WVJ851950 WLN851950 WBR851950 VRV851950 VHZ851950 UYD851950 UOH851950 UEL851950 TUP851950 TKT851950 TAX851950 SRB851950 SHF851950 RXJ851950 RNN851950 RDR851950 QTV851950 QJZ851950 QAD851950 PQH851950 PGL851950 OWP851950 OMT851950 OCX851950 NTB851950 NJF851950 MZJ851950 MPN851950 MFR851950 LVV851950 LLZ851950 LCD851950 KSH851950 KIL851950 JYP851950 JOT851950 JEX851950 IVB851950 ILF851950 IBJ851950 HRN851950 HHR851950 GXV851950 GNZ851950 GED851950 FUH851950 FKL851950 FAP851950 EQT851950 EGX851950 DXB851950 DNF851950 DDJ851950 CTN851950 CJR851950 BZV851950 BPZ851950 BGD851950 AWH851950 AML851950 ACP851950 ST851950 IX851950 B851950 WVJ786414 WLN786414 WBR786414 VRV786414 VHZ786414 UYD786414 UOH786414 UEL786414 TUP786414 TKT786414 TAX786414 SRB786414 SHF786414 RXJ786414 RNN786414 RDR786414 QTV786414 QJZ786414 QAD786414 PQH786414 PGL786414 OWP786414 OMT786414 OCX786414 NTB786414 NJF786414 MZJ786414 MPN786414 MFR786414 LVV786414 LLZ786414 LCD786414 KSH786414 KIL786414 JYP786414 JOT786414 JEX786414 IVB786414 ILF786414 IBJ786414 HRN786414 HHR786414 GXV786414 GNZ786414 GED786414 FUH786414 FKL786414 FAP786414 EQT786414 EGX786414 DXB786414 DNF786414 DDJ786414 CTN786414 CJR786414 BZV786414 BPZ786414 BGD786414 AWH786414 AML786414 ACP786414 ST786414 IX786414 B786414 WVJ720878 WLN720878 WBR720878 VRV720878 VHZ720878 UYD720878 UOH720878 UEL720878 TUP720878 TKT720878 TAX720878 SRB720878 SHF720878 RXJ720878 RNN720878 RDR720878 QTV720878 QJZ720878 QAD720878 PQH720878 PGL720878 OWP720878 OMT720878 OCX720878 NTB720878 NJF720878 MZJ720878 MPN720878 MFR720878 LVV720878 LLZ720878 LCD720878 KSH720878 KIL720878 JYP720878 JOT720878 JEX720878 IVB720878 ILF720878 IBJ720878 HRN720878 HHR720878 GXV720878 GNZ720878 GED720878 FUH720878 FKL720878 FAP720878 EQT720878 EGX720878 DXB720878 DNF720878 DDJ720878 CTN720878 CJR720878 BZV720878 BPZ720878 BGD720878 AWH720878 AML720878 ACP720878 ST720878 IX720878 B720878 WVJ655342 WLN655342 WBR655342 VRV655342 VHZ655342 UYD655342 UOH655342 UEL655342 TUP655342 TKT655342 TAX655342 SRB655342 SHF655342 RXJ655342 RNN655342 RDR655342 QTV655342 QJZ655342 QAD655342 PQH655342 PGL655342 OWP655342 OMT655342 OCX655342 NTB655342 NJF655342 MZJ655342 MPN655342 MFR655342 LVV655342 LLZ655342 LCD655342 KSH655342 KIL655342 JYP655342 JOT655342 JEX655342 IVB655342 ILF655342 IBJ655342 HRN655342 HHR655342 GXV655342 GNZ655342 GED655342 FUH655342 FKL655342 FAP655342 EQT655342 EGX655342 DXB655342 DNF655342 DDJ655342 CTN655342 CJR655342 BZV655342 BPZ655342 BGD655342 AWH655342 AML655342 ACP655342 ST655342 IX655342 B655342 WVJ589806 WLN589806 WBR589806 VRV589806 VHZ589806 UYD589806 UOH589806 UEL589806 TUP589806 TKT589806 TAX589806 SRB589806 SHF589806 RXJ589806 RNN589806 RDR589806 QTV589806 QJZ589806 QAD589806 PQH589806 PGL589806 OWP589806 OMT589806 OCX589806 NTB589806 NJF589806 MZJ589806 MPN589806 MFR589806 LVV589806 LLZ589806 LCD589806 KSH589806 KIL589806 JYP589806 JOT589806 JEX589806 IVB589806 ILF589806 IBJ589806 HRN589806 HHR589806 GXV589806 GNZ589806 GED589806 FUH589806 FKL589806 FAP589806 EQT589806 EGX589806 DXB589806 DNF589806 DDJ589806 CTN589806 CJR589806 BZV589806 BPZ589806 BGD589806 AWH589806 AML589806 ACP589806 ST589806 IX589806 B589806 WVJ524270 WLN524270 WBR524270 VRV524270 VHZ524270 UYD524270 UOH524270 UEL524270 TUP524270 TKT524270 TAX524270 SRB524270 SHF524270 RXJ524270 RNN524270 RDR524270 QTV524270 QJZ524270 QAD524270 PQH524270 PGL524270 OWP524270 OMT524270 OCX524270 NTB524270 NJF524270 MZJ524270 MPN524270 MFR524270 LVV524270 LLZ524270 LCD524270 KSH524270 KIL524270 JYP524270 JOT524270 JEX524270 IVB524270 ILF524270 IBJ524270 HRN524270 HHR524270 GXV524270 GNZ524270 GED524270 FUH524270 FKL524270 FAP524270 EQT524270 EGX524270 DXB524270 DNF524270 DDJ524270 CTN524270 CJR524270 BZV524270 BPZ524270 BGD524270 AWH524270 AML524270 ACP524270 ST524270 IX524270 B524270 WVJ458734 WLN458734 WBR458734 VRV458734 VHZ458734 UYD458734 UOH458734 UEL458734 TUP458734 TKT458734 TAX458734 SRB458734 SHF458734 RXJ458734 RNN458734 RDR458734 QTV458734 QJZ458734 QAD458734 PQH458734 PGL458734 OWP458734 OMT458734 OCX458734 NTB458734 NJF458734 MZJ458734 MPN458734 MFR458734 LVV458734 LLZ458734 LCD458734 KSH458734 KIL458734 JYP458734 JOT458734 JEX458734 IVB458734 ILF458734 IBJ458734 HRN458734 HHR458734 GXV458734 GNZ458734 GED458734 FUH458734 FKL458734 FAP458734 EQT458734 EGX458734 DXB458734 DNF458734 DDJ458734 CTN458734 CJR458734 BZV458734 BPZ458734 BGD458734 AWH458734 AML458734 ACP458734 ST458734 IX458734 B458734 WVJ393198 WLN393198 WBR393198 VRV393198 VHZ393198 UYD393198 UOH393198 UEL393198 TUP393198 TKT393198 TAX393198 SRB393198 SHF393198 RXJ393198 RNN393198 RDR393198 QTV393198 QJZ393198 QAD393198 PQH393198 PGL393198 OWP393198 OMT393198 OCX393198 NTB393198 NJF393198 MZJ393198 MPN393198 MFR393198 LVV393198 LLZ393198 LCD393198 KSH393198 KIL393198 JYP393198 JOT393198 JEX393198 IVB393198 ILF393198 IBJ393198 HRN393198 HHR393198 GXV393198 GNZ393198 GED393198 FUH393198 FKL393198 FAP393198 EQT393198 EGX393198 DXB393198 DNF393198 DDJ393198 CTN393198 CJR393198 BZV393198 BPZ393198 BGD393198 AWH393198 AML393198 ACP393198 ST393198 IX393198 B393198 WVJ327662 WLN327662 WBR327662 VRV327662 VHZ327662 UYD327662 UOH327662 UEL327662 TUP327662 TKT327662 TAX327662 SRB327662 SHF327662 RXJ327662 RNN327662 RDR327662 QTV327662 QJZ327662 QAD327662 PQH327662 PGL327662 OWP327662 OMT327662 OCX327662 NTB327662 NJF327662 MZJ327662 MPN327662 MFR327662 LVV327662 LLZ327662 LCD327662 KSH327662 KIL327662 JYP327662 JOT327662 JEX327662 IVB327662 ILF327662 IBJ327662 HRN327662 HHR327662 GXV327662 GNZ327662 GED327662 FUH327662 FKL327662 FAP327662 EQT327662 EGX327662 DXB327662 DNF327662 DDJ327662 CTN327662 CJR327662 BZV327662 BPZ327662 BGD327662 AWH327662 AML327662 ACP327662 ST327662 IX327662 B327662 WVJ262126 WLN262126 WBR262126 VRV262126 VHZ262126 UYD262126 UOH262126 UEL262126 TUP262126 TKT262126 TAX262126 SRB262126 SHF262126 RXJ262126 RNN262126 RDR262126 QTV262126 QJZ262126 QAD262126 PQH262126 PGL262126 OWP262126 OMT262126 OCX262126 NTB262126 NJF262126 MZJ262126 MPN262126 MFR262126 LVV262126 LLZ262126 LCD262126 KSH262126 KIL262126 JYP262126 JOT262126 JEX262126 IVB262126 ILF262126 IBJ262126 HRN262126 HHR262126 GXV262126 GNZ262126 GED262126 FUH262126 FKL262126 FAP262126 EQT262126 EGX262126 DXB262126 DNF262126 DDJ262126 CTN262126 CJR262126 BZV262126 BPZ262126 BGD262126 AWH262126 AML262126 ACP262126 ST262126 IX262126 B262126 WVJ196590 WLN196590 WBR196590 VRV196590 VHZ196590 UYD196590 UOH196590 UEL196590 TUP196590 TKT196590 TAX196590 SRB196590 SHF196590 RXJ196590 RNN196590 RDR196590 QTV196590 QJZ196590 QAD196590 PQH196590 PGL196590 OWP196590 OMT196590 OCX196590 NTB196590 NJF196590 MZJ196590 MPN196590 MFR196590 LVV196590 LLZ196590 LCD196590 KSH196590 KIL196590 JYP196590 JOT196590 JEX196590 IVB196590 ILF196590 IBJ196590 HRN196590 HHR196590 GXV196590 GNZ196590 GED196590 FUH196590 FKL196590 FAP196590 EQT196590 EGX196590 DXB196590 DNF196590 DDJ196590 CTN196590 CJR196590 BZV196590 BPZ196590 BGD196590 AWH196590 AML196590 ACP196590 ST196590 IX196590 B196590 WVJ131054 WLN131054 WBR131054 VRV131054 VHZ131054 UYD131054 UOH131054 UEL131054 TUP131054 TKT131054 TAX131054 SRB131054 SHF131054 RXJ131054 RNN131054 RDR131054 QTV131054 QJZ131054 QAD131054 PQH131054 PGL131054 OWP131054 OMT131054 OCX131054 NTB131054 NJF131054 MZJ131054 MPN131054 MFR131054 LVV131054 LLZ131054 LCD131054 KSH131054 KIL131054 JYP131054 JOT131054 JEX131054 IVB131054 ILF131054 IBJ131054 HRN131054 HHR131054 GXV131054 GNZ131054 GED131054 FUH131054 FKL131054 FAP131054 EQT131054 EGX131054 DXB131054 DNF131054 DDJ131054 CTN131054 CJR131054 BZV131054 BPZ131054 BGD131054 AWH131054 AML131054 ACP131054 ST131054 IX131054 B131054 WVJ65518 WLN65518 WBR65518 VRV65518 VHZ65518 UYD65518 UOH65518 UEL65518 TUP65518 TKT65518 TAX65518 SRB65518 SHF65518 RXJ65518 RNN65518 RDR65518 QTV65518 QJZ65518 QAD65518 PQH65518 PGL65518 OWP65518 OMT65518 OCX65518 NTB65518 NJF65518 MZJ65518 MPN65518 MFR65518 LVV65518 LLZ65518 LCD65518 KSH65518 KIL65518 JYP65518 JOT65518 JEX65518 IVB65518 ILF65518 IBJ65518 HRN65518 HHR65518 GXV65518 GNZ65518 GED65518 FUH65518 FKL65518 FAP65518 EQT65518 EGX65518 DXB65518 DNF65518 DDJ65518 CTN65518 CJR65518 BZV65518 BPZ65518 BGD65518 AWH65518 AML65518 ACP65518 ST65518 IX65518 B65584:B65588 WVJ983059:WVJ983063 WLN983059:WLN983063 WBR983059:WBR983063 VRV983059:VRV983063 VHZ983059:VHZ983063 UYD983059:UYD983063 UOH983059:UOH983063 UEL983059:UEL983063 TUP983059:TUP983063 TKT983059:TKT983063 TAX983059:TAX983063 SRB983059:SRB983063 SHF983059:SHF983063 RXJ983059:RXJ983063 RNN983059:RNN983063 RDR983059:RDR983063 QTV983059:QTV983063 QJZ983059:QJZ983063 QAD983059:QAD983063 PQH983059:PQH983063 PGL983059:PGL983063 OWP983059:OWP983063 OMT983059:OMT983063 OCX983059:OCX983063 NTB983059:NTB983063 NJF983059:NJF983063 MZJ983059:MZJ983063 MPN983059:MPN983063 MFR983059:MFR983063 LVV983059:LVV983063 LLZ983059:LLZ983063 LCD983059:LCD983063 KSH983059:KSH983063 KIL983059:KIL983063 JYP983059:JYP983063 JOT983059:JOT983063 JEX983059:JEX983063 IVB983059:IVB983063 ILF983059:ILF983063 IBJ983059:IBJ983063 HRN983059:HRN983063 HHR983059:HHR983063 GXV983059:GXV983063 GNZ983059:GNZ983063 GED983059:GED983063 FUH983059:FUH983063 FKL983059:FKL983063 FAP983059:FAP983063 EQT983059:EQT983063 EGX983059:EGX983063 DXB983059:DXB983063 DNF983059:DNF983063 DDJ983059:DDJ983063 CTN983059:CTN983063 CJR983059:CJR983063 BZV983059:BZV983063 BPZ983059:BPZ983063 BGD983059:BGD983063 AWH983059:AWH983063 AML983059:AML983063 ACP983059:ACP983063 ST983059:ST983063 IX983059:IX983063 B983059:B983063 WVJ917523:WVJ917527 WLN917523:WLN917527 WBR917523:WBR917527 VRV917523:VRV917527 VHZ917523:VHZ917527 UYD917523:UYD917527 UOH917523:UOH917527 UEL917523:UEL917527 TUP917523:TUP917527 TKT917523:TKT917527 TAX917523:TAX917527 SRB917523:SRB917527 SHF917523:SHF917527 RXJ917523:RXJ917527 RNN917523:RNN917527 RDR917523:RDR917527 QTV917523:QTV917527 QJZ917523:QJZ917527 QAD917523:QAD917527 PQH917523:PQH917527 PGL917523:PGL917527 OWP917523:OWP917527 OMT917523:OMT917527 OCX917523:OCX917527 NTB917523:NTB917527 NJF917523:NJF917527 MZJ917523:MZJ917527 MPN917523:MPN917527 MFR917523:MFR917527 LVV917523:LVV917527 LLZ917523:LLZ917527 LCD917523:LCD917527 KSH917523:KSH917527 KIL917523:KIL917527 JYP917523:JYP917527 JOT917523:JOT917527 JEX917523:JEX917527 IVB917523:IVB917527 ILF917523:ILF917527 IBJ917523:IBJ917527 HRN917523:HRN917527 HHR917523:HHR917527 GXV917523:GXV917527 GNZ917523:GNZ917527 GED917523:GED917527 FUH917523:FUH917527 FKL917523:FKL917527 FAP917523:FAP917527 EQT917523:EQT917527 EGX917523:EGX917527 DXB917523:DXB917527 DNF917523:DNF917527 DDJ917523:DDJ917527 CTN917523:CTN917527 CJR917523:CJR917527 BZV917523:BZV917527 BPZ917523:BPZ917527 BGD917523:BGD917527 AWH917523:AWH917527 AML917523:AML917527 ACP917523:ACP917527 ST917523:ST917527 IX917523:IX917527 B917523:B917527 WVJ851987:WVJ851991 WLN851987:WLN851991 WBR851987:WBR851991 VRV851987:VRV851991 VHZ851987:VHZ851991 UYD851987:UYD851991 UOH851987:UOH851991 UEL851987:UEL851991 TUP851987:TUP851991 TKT851987:TKT851991 TAX851987:TAX851991 SRB851987:SRB851991 SHF851987:SHF851991 RXJ851987:RXJ851991 RNN851987:RNN851991 RDR851987:RDR851991 QTV851987:QTV851991 QJZ851987:QJZ851991 QAD851987:QAD851991 PQH851987:PQH851991 PGL851987:PGL851991 OWP851987:OWP851991 OMT851987:OMT851991 OCX851987:OCX851991 NTB851987:NTB851991 NJF851987:NJF851991 MZJ851987:MZJ851991 MPN851987:MPN851991 MFR851987:MFR851991 LVV851987:LVV851991 LLZ851987:LLZ851991 LCD851987:LCD851991 KSH851987:KSH851991 KIL851987:KIL851991 JYP851987:JYP851991 JOT851987:JOT851991 JEX851987:JEX851991 IVB851987:IVB851991 ILF851987:ILF851991 IBJ851987:IBJ851991 HRN851987:HRN851991 HHR851987:HHR851991 GXV851987:GXV851991 GNZ851987:GNZ851991 GED851987:GED851991 FUH851987:FUH851991 FKL851987:FKL851991 FAP851987:FAP851991 EQT851987:EQT851991 EGX851987:EGX851991 DXB851987:DXB851991 DNF851987:DNF851991 DDJ851987:DDJ851991 CTN851987:CTN851991 CJR851987:CJR851991 BZV851987:BZV851991 BPZ851987:BPZ851991 BGD851987:BGD851991 AWH851987:AWH851991 AML851987:AML851991 ACP851987:ACP851991 ST851987:ST851991 IX851987:IX851991 B851987:B851991 WVJ786451:WVJ786455 WLN786451:WLN786455 WBR786451:WBR786455 VRV786451:VRV786455 VHZ786451:VHZ786455 UYD786451:UYD786455 UOH786451:UOH786455 UEL786451:UEL786455 TUP786451:TUP786455 TKT786451:TKT786455 TAX786451:TAX786455 SRB786451:SRB786455 SHF786451:SHF786455 RXJ786451:RXJ786455 RNN786451:RNN786455 RDR786451:RDR786455 QTV786451:QTV786455 QJZ786451:QJZ786455 QAD786451:QAD786455 PQH786451:PQH786455 PGL786451:PGL786455 OWP786451:OWP786455 OMT786451:OMT786455 OCX786451:OCX786455 NTB786451:NTB786455 NJF786451:NJF786455 MZJ786451:MZJ786455 MPN786451:MPN786455 MFR786451:MFR786455 LVV786451:LVV786455 LLZ786451:LLZ786455 LCD786451:LCD786455 KSH786451:KSH786455 KIL786451:KIL786455 JYP786451:JYP786455 JOT786451:JOT786455 JEX786451:JEX786455 IVB786451:IVB786455 ILF786451:ILF786455 IBJ786451:IBJ786455 HRN786451:HRN786455 HHR786451:HHR786455 GXV786451:GXV786455 GNZ786451:GNZ786455 GED786451:GED786455 FUH786451:FUH786455 FKL786451:FKL786455 FAP786451:FAP786455 EQT786451:EQT786455 EGX786451:EGX786455 DXB786451:DXB786455 DNF786451:DNF786455 DDJ786451:DDJ786455 CTN786451:CTN786455 CJR786451:CJR786455 BZV786451:BZV786455 BPZ786451:BPZ786455 BGD786451:BGD786455 AWH786451:AWH786455 AML786451:AML786455 ACP786451:ACP786455 ST786451:ST786455 IX786451:IX786455 B786451:B786455 WVJ720915:WVJ720919 WLN720915:WLN720919 WBR720915:WBR720919 VRV720915:VRV720919 VHZ720915:VHZ720919 UYD720915:UYD720919 UOH720915:UOH720919 UEL720915:UEL720919 TUP720915:TUP720919 TKT720915:TKT720919 TAX720915:TAX720919 SRB720915:SRB720919 SHF720915:SHF720919 RXJ720915:RXJ720919 RNN720915:RNN720919 RDR720915:RDR720919 QTV720915:QTV720919 QJZ720915:QJZ720919 QAD720915:QAD720919 PQH720915:PQH720919 PGL720915:PGL720919 OWP720915:OWP720919 OMT720915:OMT720919 OCX720915:OCX720919 NTB720915:NTB720919 NJF720915:NJF720919 MZJ720915:MZJ720919 MPN720915:MPN720919 MFR720915:MFR720919 LVV720915:LVV720919 LLZ720915:LLZ720919 LCD720915:LCD720919 KSH720915:KSH720919 KIL720915:KIL720919 JYP720915:JYP720919 JOT720915:JOT720919 JEX720915:JEX720919 IVB720915:IVB720919 ILF720915:ILF720919 IBJ720915:IBJ720919 HRN720915:HRN720919 HHR720915:HHR720919 GXV720915:GXV720919 GNZ720915:GNZ720919 GED720915:GED720919 FUH720915:FUH720919 FKL720915:FKL720919 FAP720915:FAP720919 EQT720915:EQT720919 EGX720915:EGX720919 DXB720915:DXB720919 DNF720915:DNF720919 DDJ720915:DDJ720919 CTN720915:CTN720919 CJR720915:CJR720919 BZV720915:BZV720919 BPZ720915:BPZ720919 BGD720915:BGD720919 AWH720915:AWH720919 AML720915:AML720919 ACP720915:ACP720919 ST720915:ST720919 IX720915:IX720919 B720915:B720919 WVJ655379:WVJ655383 WLN655379:WLN655383 WBR655379:WBR655383 VRV655379:VRV655383 VHZ655379:VHZ655383 UYD655379:UYD655383 UOH655379:UOH655383 UEL655379:UEL655383 TUP655379:TUP655383 TKT655379:TKT655383 TAX655379:TAX655383 SRB655379:SRB655383 SHF655379:SHF655383 RXJ655379:RXJ655383 RNN655379:RNN655383 RDR655379:RDR655383 QTV655379:QTV655383 QJZ655379:QJZ655383 QAD655379:QAD655383 PQH655379:PQH655383 PGL655379:PGL655383 OWP655379:OWP655383 OMT655379:OMT655383 OCX655379:OCX655383 NTB655379:NTB655383 NJF655379:NJF655383 MZJ655379:MZJ655383 MPN655379:MPN655383 MFR655379:MFR655383 LVV655379:LVV655383 LLZ655379:LLZ655383 LCD655379:LCD655383 KSH655379:KSH655383 KIL655379:KIL655383 JYP655379:JYP655383 JOT655379:JOT655383 JEX655379:JEX655383 IVB655379:IVB655383 ILF655379:ILF655383 IBJ655379:IBJ655383 HRN655379:HRN655383 HHR655379:HHR655383 GXV655379:GXV655383 GNZ655379:GNZ655383 GED655379:GED655383 FUH655379:FUH655383 FKL655379:FKL655383 FAP655379:FAP655383 EQT655379:EQT655383 EGX655379:EGX655383 DXB655379:DXB655383 DNF655379:DNF655383 DDJ655379:DDJ655383 CTN655379:CTN655383 CJR655379:CJR655383 BZV655379:BZV655383 BPZ655379:BPZ655383 BGD655379:BGD655383 AWH655379:AWH655383 AML655379:AML655383 ACP655379:ACP655383 ST655379:ST655383 IX655379:IX655383 B655379:B655383 WVJ589843:WVJ589847 WLN589843:WLN589847 WBR589843:WBR589847 VRV589843:VRV589847 VHZ589843:VHZ589847 UYD589843:UYD589847 UOH589843:UOH589847 UEL589843:UEL589847 TUP589843:TUP589847 TKT589843:TKT589847 TAX589843:TAX589847 SRB589843:SRB589847 SHF589843:SHF589847 RXJ589843:RXJ589847 RNN589843:RNN589847 RDR589843:RDR589847 QTV589843:QTV589847 QJZ589843:QJZ589847 QAD589843:QAD589847 PQH589843:PQH589847 PGL589843:PGL589847 OWP589843:OWP589847 OMT589843:OMT589847 OCX589843:OCX589847 NTB589843:NTB589847 NJF589843:NJF589847 MZJ589843:MZJ589847 MPN589843:MPN589847 MFR589843:MFR589847 LVV589843:LVV589847 LLZ589843:LLZ589847 LCD589843:LCD589847 KSH589843:KSH589847 KIL589843:KIL589847 JYP589843:JYP589847 JOT589843:JOT589847 JEX589843:JEX589847 IVB589843:IVB589847 ILF589843:ILF589847 IBJ589843:IBJ589847 HRN589843:HRN589847 HHR589843:HHR589847 GXV589843:GXV589847 GNZ589843:GNZ589847 GED589843:GED589847 FUH589843:FUH589847 FKL589843:FKL589847 FAP589843:FAP589847 EQT589843:EQT589847 EGX589843:EGX589847 DXB589843:DXB589847 DNF589843:DNF589847 DDJ589843:DDJ589847 CTN589843:CTN589847 CJR589843:CJR589847 BZV589843:BZV589847 BPZ589843:BPZ589847 BGD589843:BGD589847 AWH589843:AWH589847 AML589843:AML589847 ACP589843:ACP589847 ST589843:ST589847 IX589843:IX589847 B589843:B589847 WVJ524307:WVJ524311 WLN524307:WLN524311 WBR524307:WBR524311 VRV524307:VRV524311 VHZ524307:VHZ524311 UYD524307:UYD524311 UOH524307:UOH524311 UEL524307:UEL524311 TUP524307:TUP524311 TKT524307:TKT524311 TAX524307:TAX524311 SRB524307:SRB524311 SHF524307:SHF524311 RXJ524307:RXJ524311 RNN524307:RNN524311 RDR524307:RDR524311 QTV524307:QTV524311 QJZ524307:QJZ524311 QAD524307:QAD524311 PQH524307:PQH524311 PGL524307:PGL524311 OWP524307:OWP524311 OMT524307:OMT524311 OCX524307:OCX524311 NTB524307:NTB524311 NJF524307:NJF524311 MZJ524307:MZJ524311 MPN524307:MPN524311 MFR524307:MFR524311 LVV524307:LVV524311 LLZ524307:LLZ524311 LCD524307:LCD524311 KSH524307:KSH524311 KIL524307:KIL524311 JYP524307:JYP524311 JOT524307:JOT524311 JEX524307:JEX524311 IVB524307:IVB524311 ILF524307:ILF524311 IBJ524307:IBJ524311 HRN524307:HRN524311 HHR524307:HHR524311 GXV524307:GXV524311 GNZ524307:GNZ524311 GED524307:GED524311 FUH524307:FUH524311 FKL524307:FKL524311 FAP524307:FAP524311 EQT524307:EQT524311 EGX524307:EGX524311 DXB524307:DXB524311 DNF524307:DNF524311 DDJ524307:DDJ524311 CTN524307:CTN524311 CJR524307:CJR524311 BZV524307:BZV524311 BPZ524307:BPZ524311 BGD524307:BGD524311 AWH524307:AWH524311 AML524307:AML524311 ACP524307:ACP524311 ST524307:ST524311 IX524307:IX524311 B524307:B524311 WVJ458771:WVJ458775 WLN458771:WLN458775 WBR458771:WBR458775 VRV458771:VRV458775 VHZ458771:VHZ458775 UYD458771:UYD458775 UOH458771:UOH458775 UEL458771:UEL458775 TUP458771:TUP458775 TKT458771:TKT458775 TAX458771:TAX458775 SRB458771:SRB458775 SHF458771:SHF458775 RXJ458771:RXJ458775 RNN458771:RNN458775 RDR458771:RDR458775 QTV458771:QTV458775 QJZ458771:QJZ458775 QAD458771:QAD458775 PQH458771:PQH458775 PGL458771:PGL458775 OWP458771:OWP458775 OMT458771:OMT458775 OCX458771:OCX458775 NTB458771:NTB458775 NJF458771:NJF458775 MZJ458771:MZJ458775 MPN458771:MPN458775 MFR458771:MFR458775 LVV458771:LVV458775 LLZ458771:LLZ458775 LCD458771:LCD458775 KSH458771:KSH458775 KIL458771:KIL458775 JYP458771:JYP458775 JOT458771:JOT458775 JEX458771:JEX458775 IVB458771:IVB458775 ILF458771:ILF458775 IBJ458771:IBJ458775 HRN458771:HRN458775 HHR458771:HHR458775 GXV458771:GXV458775 GNZ458771:GNZ458775 GED458771:GED458775 FUH458771:FUH458775 FKL458771:FKL458775 FAP458771:FAP458775 EQT458771:EQT458775 EGX458771:EGX458775 DXB458771:DXB458775 DNF458771:DNF458775 DDJ458771:DDJ458775 CTN458771:CTN458775 CJR458771:CJR458775 BZV458771:BZV458775 BPZ458771:BPZ458775 BGD458771:BGD458775 AWH458771:AWH458775 AML458771:AML458775 ACP458771:ACP458775 ST458771:ST458775 IX458771:IX458775 B458771:B458775 WVJ393235:WVJ393239 WLN393235:WLN393239 WBR393235:WBR393239 VRV393235:VRV393239 VHZ393235:VHZ393239 UYD393235:UYD393239 UOH393235:UOH393239 UEL393235:UEL393239 TUP393235:TUP393239 TKT393235:TKT393239 TAX393235:TAX393239 SRB393235:SRB393239 SHF393235:SHF393239 RXJ393235:RXJ393239 RNN393235:RNN393239 RDR393235:RDR393239 QTV393235:QTV393239 QJZ393235:QJZ393239 QAD393235:QAD393239 PQH393235:PQH393239 PGL393235:PGL393239 OWP393235:OWP393239 OMT393235:OMT393239 OCX393235:OCX393239 NTB393235:NTB393239 NJF393235:NJF393239 MZJ393235:MZJ393239 MPN393235:MPN393239 MFR393235:MFR393239 LVV393235:LVV393239 LLZ393235:LLZ393239 LCD393235:LCD393239 KSH393235:KSH393239 KIL393235:KIL393239 JYP393235:JYP393239 JOT393235:JOT393239 JEX393235:JEX393239 IVB393235:IVB393239 ILF393235:ILF393239 IBJ393235:IBJ393239 HRN393235:HRN393239 HHR393235:HHR393239 GXV393235:GXV393239 GNZ393235:GNZ393239 GED393235:GED393239 FUH393235:FUH393239 FKL393235:FKL393239 FAP393235:FAP393239 EQT393235:EQT393239 EGX393235:EGX393239 DXB393235:DXB393239 DNF393235:DNF393239 DDJ393235:DDJ393239 CTN393235:CTN393239 CJR393235:CJR393239 BZV393235:BZV393239 BPZ393235:BPZ393239 BGD393235:BGD393239 AWH393235:AWH393239 AML393235:AML393239 ACP393235:ACP393239 ST393235:ST393239 IX393235:IX393239 B393235:B393239 WVJ327699:WVJ327703 WLN327699:WLN327703 WBR327699:WBR327703 VRV327699:VRV327703 VHZ327699:VHZ327703 UYD327699:UYD327703 UOH327699:UOH327703 UEL327699:UEL327703 TUP327699:TUP327703 TKT327699:TKT327703 TAX327699:TAX327703 SRB327699:SRB327703 SHF327699:SHF327703 RXJ327699:RXJ327703 RNN327699:RNN327703 RDR327699:RDR327703 QTV327699:QTV327703 QJZ327699:QJZ327703 QAD327699:QAD327703 PQH327699:PQH327703 PGL327699:PGL327703 OWP327699:OWP327703 OMT327699:OMT327703 OCX327699:OCX327703 NTB327699:NTB327703 NJF327699:NJF327703 MZJ327699:MZJ327703 MPN327699:MPN327703 MFR327699:MFR327703 LVV327699:LVV327703 LLZ327699:LLZ327703 LCD327699:LCD327703 KSH327699:KSH327703 KIL327699:KIL327703 JYP327699:JYP327703 JOT327699:JOT327703 JEX327699:JEX327703 IVB327699:IVB327703 ILF327699:ILF327703 IBJ327699:IBJ327703 HRN327699:HRN327703 HHR327699:HHR327703 GXV327699:GXV327703 GNZ327699:GNZ327703 GED327699:GED327703 FUH327699:FUH327703 FKL327699:FKL327703 FAP327699:FAP327703 EQT327699:EQT327703 EGX327699:EGX327703 DXB327699:DXB327703 DNF327699:DNF327703 DDJ327699:DDJ327703 CTN327699:CTN327703 CJR327699:CJR327703 BZV327699:BZV327703 BPZ327699:BPZ327703 BGD327699:BGD327703 AWH327699:AWH327703 AML327699:AML327703 ACP327699:ACP327703 ST327699:ST327703 IX327699:IX327703 B327699:B327703 WVJ262163:WVJ262167 WLN262163:WLN262167 WBR262163:WBR262167 VRV262163:VRV262167 VHZ262163:VHZ262167 UYD262163:UYD262167 UOH262163:UOH262167 UEL262163:UEL262167 TUP262163:TUP262167 TKT262163:TKT262167 TAX262163:TAX262167 SRB262163:SRB262167 SHF262163:SHF262167 RXJ262163:RXJ262167 RNN262163:RNN262167 RDR262163:RDR262167 QTV262163:QTV262167 QJZ262163:QJZ262167 QAD262163:QAD262167 PQH262163:PQH262167 PGL262163:PGL262167 OWP262163:OWP262167 OMT262163:OMT262167 OCX262163:OCX262167 NTB262163:NTB262167 NJF262163:NJF262167 MZJ262163:MZJ262167 MPN262163:MPN262167 MFR262163:MFR262167 LVV262163:LVV262167 LLZ262163:LLZ262167 LCD262163:LCD262167 KSH262163:KSH262167 KIL262163:KIL262167 JYP262163:JYP262167 JOT262163:JOT262167 JEX262163:JEX262167 IVB262163:IVB262167 ILF262163:ILF262167 IBJ262163:IBJ262167 HRN262163:HRN262167 HHR262163:HHR262167 GXV262163:GXV262167 GNZ262163:GNZ262167 GED262163:GED262167 FUH262163:FUH262167 FKL262163:FKL262167 FAP262163:FAP262167 EQT262163:EQT262167 EGX262163:EGX262167 DXB262163:DXB262167 DNF262163:DNF262167 DDJ262163:DDJ262167 CTN262163:CTN262167 CJR262163:CJR262167 BZV262163:BZV262167 BPZ262163:BPZ262167 BGD262163:BGD262167 AWH262163:AWH262167 AML262163:AML262167 ACP262163:ACP262167 ST262163:ST262167 IX262163:IX262167 B262163:B262167 WVJ196627:WVJ196631 WLN196627:WLN196631 WBR196627:WBR196631 VRV196627:VRV196631 VHZ196627:VHZ196631 UYD196627:UYD196631 UOH196627:UOH196631 UEL196627:UEL196631 TUP196627:TUP196631 TKT196627:TKT196631 TAX196627:TAX196631 SRB196627:SRB196631 SHF196627:SHF196631 RXJ196627:RXJ196631 RNN196627:RNN196631 RDR196627:RDR196631 QTV196627:QTV196631 QJZ196627:QJZ196631 QAD196627:QAD196631 PQH196627:PQH196631 PGL196627:PGL196631 OWP196627:OWP196631 OMT196627:OMT196631 OCX196627:OCX196631 NTB196627:NTB196631 NJF196627:NJF196631 MZJ196627:MZJ196631 MPN196627:MPN196631 MFR196627:MFR196631 LVV196627:LVV196631 LLZ196627:LLZ196631 LCD196627:LCD196631 KSH196627:KSH196631 KIL196627:KIL196631 JYP196627:JYP196631 JOT196627:JOT196631 JEX196627:JEX196631 IVB196627:IVB196631 ILF196627:ILF196631 IBJ196627:IBJ196631 HRN196627:HRN196631 HHR196627:HHR196631 GXV196627:GXV196631 GNZ196627:GNZ196631 GED196627:GED196631 FUH196627:FUH196631 FKL196627:FKL196631 FAP196627:FAP196631 EQT196627:EQT196631 EGX196627:EGX196631 DXB196627:DXB196631 DNF196627:DNF196631 DDJ196627:DDJ196631 CTN196627:CTN196631 CJR196627:CJR196631 BZV196627:BZV196631 BPZ196627:BPZ196631 BGD196627:BGD196631 AWH196627:AWH196631 AML196627:AML196631 ACP196627:ACP196631 ST196627:ST196631 IX196627:IX196631 B196627:B196631 WVJ131091:WVJ131095 WLN131091:WLN131095 WBR131091:WBR131095 VRV131091:VRV131095 VHZ131091:VHZ131095 UYD131091:UYD131095 UOH131091:UOH131095 UEL131091:UEL131095 TUP131091:TUP131095 TKT131091:TKT131095 TAX131091:TAX131095 SRB131091:SRB131095 SHF131091:SHF131095 RXJ131091:RXJ131095 RNN131091:RNN131095 RDR131091:RDR131095 QTV131091:QTV131095 QJZ131091:QJZ131095 QAD131091:QAD131095 PQH131091:PQH131095 PGL131091:PGL131095 OWP131091:OWP131095 OMT131091:OMT131095 OCX131091:OCX131095 NTB131091:NTB131095 NJF131091:NJF131095 MZJ131091:MZJ131095 MPN131091:MPN131095 MFR131091:MFR131095 LVV131091:LVV131095 LLZ131091:LLZ131095 LCD131091:LCD131095 KSH131091:KSH131095 KIL131091:KIL131095 JYP131091:JYP131095 JOT131091:JOT131095 JEX131091:JEX131095 IVB131091:IVB131095 ILF131091:ILF131095 IBJ131091:IBJ131095 HRN131091:HRN131095 HHR131091:HHR131095 GXV131091:GXV131095 GNZ131091:GNZ131095 GED131091:GED131095 FUH131091:FUH131095 FKL131091:FKL131095 FAP131091:FAP131095 EQT131091:EQT131095 EGX131091:EGX131095 DXB131091:DXB131095 DNF131091:DNF131095 DDJ131091:DDJ131095 CTN131091:CTN131095 CJR131091:CJR131095 BZV131091:BZV131095 BPZ131091:BPZ131095 BGD131091:BGD131095 AWH131091:AWH131095 AML131091:AML131095 ACP131091:ACP131095 ST131091:ST131095 IX131091:IX131095 B131091:B131095 WVJ65555:WVJ65559 WLN65555:WLN65559 WBR65555:WBR65559 VRV65555:VRV65559 VHZ65555:VHZ65559 UYD65555:UYD65559 UOH65555:UOH65559 UEL65555:UEL65559 TUP65555:TUP65559 TKT65555:TKT65559 TAX65555:TAX65559 SRB65555:SRB65559 SHF65555:SHF65559 RXJ65555:RXJ65559 RNN65555:RNN65559 RDR65555:RDR65559 QTV65555:QTV65559 QJZ65555:QJZ65559 QAD65555:QAD65559 PQH65555:PQH65559 PGL65555:PGL65559 OWP65555:OWP65559 OMT65555:OMT65559 OCX65555:OCX65559 NTB65555:NTB65559 NJF65555:NJF65559 MZJ65555:MZJ65559 MPN65555:MPN65559 MFR65555:MFR65559 LVV65555:LVV65559 LLZ65555:LLZ65559 LCD65555:LCD65559 KSH65555:KSH65559 KIL65555:KIL65559 JYP65555:JYP65559 JOT65555:JOT65559 JEX65555:JEX65559 IVB65555:IVB65559 ILF65555:ILF65559 IBJ65555:IBJ65559 HRN65555:HRN65559 HHR65555:HHR65559 GXV65555:GXV65559 GNZ65555:GNZ65559 GED65555:GED65559 FUH65555:FUH65559 FKL65555:FKL65559 FAP65555:FAP65559 EQT65555:EQT65559 EGX65555:EGX65559 DXB65555:DXB65559 DNF65555:DNF65559 DDJ65555:DDJ65559 CTN65555:CTN65559 CJR65555:CJR65559 BZV65555:BZV65559 BPZ65555:BPZ65559 BGD65555:BGD65559 AWH65555:AWH65559 AML65555:AML65559 ACP65555:ACP65559 ST65555:ST65559 IX65555:IX65559 B65555:B65559 IX65584:IX65588 WVJ983088:WVJ983092 WLN983088:WLN983092 WBR983088:WBR983092 VRV983088:VRV983092 VHZ983088:VHZ983092 UYD983088:UYD983092 UOH983088:UOH983092 UEL983088:UEL983092 TUP983088:TUP983092 TKT983088:TKT983092 TAX983088:TAX983092 SRB983088:SRB983092 SHF983088:SHF983092 RXJ983088:RXJ983092 RNN983088:RNN983092 RDR983088:RDR983092 QTV983088:QTV983092 QJZ983088:QJZ983092 QAD983088:QAD983092 PQH983088:PQH983092 PGL983088:PGL983092 OWP983088:OWP983092 OMT983088:OMT983092 OCX983088:OCX983092 NTB983088:NTB983092 NJF983088:NJF983092 MZJ983088:MZJ983092 MPN983088:MPN983092 MFR983088:MFR983092 LVV983088:LVV983092 LLZ983088:LLZ983092 LCD983088:LCD983092 KSH983088:KSH983092 KIL983088:KIL983092 JYP983088:JYP983092 JOT983088:JOT983092 JEX983088:JEX983092 IVB983088:IVB983092 ILF983088:ILF983092 IBJ983088:IBJ983092 HRN983088:HRN983092 HHR983088:HHR983092 GXV983088:GXV983092 GNZ983088:GNZ983092 GED983088:GED983092 FUH983088:FUH983092 FKL983088:FKL983092 FAP983088:FAP983092 EQT983088:EQT983092 EGX983088:EGX983092 DXB983088:DXB983092 DNF983088:DNF983092 DDJ983088:DDJ983092 CTN983088:CTN983092 CJR983088:CJR983092 BZV983088:BZV983092 BPZ983088:BPZ983092 BGD983088:BGD983092 AWH983088:AWH983092 AML983088:AML983092 ACP983088:ACP983092 ST983088:ST983092 IX983088:IX983092 B983088:B983092 WVJ917552:WVJ917556 WLN917552:WLN917556 WBR917552:WBR917556 VRV917552:VRV917556 VHZ917552:VHZ917556 UYD917552:UYD917556 UOH917552:UOH917556 UEL917552:UEL917556 TUP917552:TUP917556 TKT917552:TKT917556 TAX917552:TAX917556 SRB917552:SRB917556 SHF917552:SHF917556 RXJ917552:RXJ917556 RNN917552:RNN917556 RDR917552:RDR917556 QTV917552:QTV917556 QJZ917552:QJZ917556 QAD917552:QAD917556 PQH917552:PQH917556 PGL917552:PGL917556 OWP917552:OWP917556 OMT917552:OMT917556 OCX917552:OCX917556 NTB917552:NTB917556 NJF917552:NJF917556 MZJ917552:MZJ917556 MPN917552:MPN917556 MFR917552:MFR917556 LVV917552:LVV917556 LLZ917552:LLZ917556 LCD917552:LCD917556 KSH917552:KSH917556 KIL917552:KIL917556 JYP917552:JYP917556 JOT917552:JOT917556 JEX917552:JEX917556 IVB917552:IVB917556 ILF917552:ILF917556 IBJ917552:IBJ917556 HRN917552:HRN917556 HHR917552:HHR917556 GXV917552:GXV917556 GNZ917552:GNZ917556 GED917552:GED917556 FUH917552:FUH917556 FKL917552:FKL917556 FAP917552:FAP917556 EQT917552:EQT917556 EGX917552:EGX917556 DXB917552:DXB917556 DNF917552:DNF917556 DDJ917552:DDJ917556 CTN917552:CTN917556 CJR917552:CJR917556 BZV917552:BZV917556 BPZ917552:BPZ917556 BGD917552:BGD917556 AWH917552:AWH917556 AML917552:AML917556 ACP917552:ACP917556 ST917552:ST917556 IX917552:IX917556 B917552:B917556 WVJ852016:WVJ852020 WLN852016:WLN852020 WBR852016:WBR852020 VRV852016:VRV852020 VHZ852016:VHZ852020 UYD852016:UYD852020 UOH852016:UOH852020 UEL852016:UEL852020 TUP852016:TUP852020 TKT852016:TKT852020 TAX852016:TAX852020 SRB852016:SRB852020 SHF852016:SHF852020 RXJ852016:RXJ852020 RNN852016:RNN852020 RDR852016:RDR852020 QTV852016:QTV852020 QJZ852016:QJZ852020 QAD852016:QAD852020 PQH852016:PQH852020 PGL852016:PGL852020 OWP852016:OWP852020 OMT852016:OMT852020 OCX852016:OCX852020 NTB852016:NTB852020 NJF852016:NJF852020 MZJ852016:MZJ852020 MPN852016:MPN852020 MFR852016:MFR852020 LVV852016:LVV852020 LLZ852016:LLZ852020 LCD852016:LCD852020 KSH852016:KSH852020 KIL852016:KIL852020 JYP852016:JYP852020 JOT852016:JOT852020 JEX852016:JEX852020 IVB852016:IVB852020 ILF852016:ILF852020 IBJ852016:IBJ852020 HRN852016:HRN852020 HHR852016:HHR852020 GXV852016:GXV852020 GNZ852016:GNZ852020 GED852016:GED852020 FUH852016:FUH852020 FKL852016:FKL852020 FAP852016:FAP852020 EQT852016:EQT852020 EGX852016:EGX852020 DXB852016:DXB852020 DNF852016:DNF852020 DDJ852016:DDJ852020 CTN852016:CTN852020 CJR852016:CJR852020 BZV852016:BZV852020 BPZ852016:BPZ852020 BGD852016:BGD852020 AWH852016:AWH852020 AML852016:AML852020 ACP852016:ACP852020 ST852016:ST852020 IX852016:IX852020 B852016:B852020 WVJ786480:WVJ786484 WLN786480:WLN786484 WBR786480:WBR786484 VRV786480:VRV786484 VHZ786480:VHZ786484 UYD786480:UYD786484 UOH786480:UOH786484 UEL786480:UEL786484 TUP786480:TUP786484 TKT786480:TKT786484 TAX786480:TAX786484 SRB786480:SRB786484 SHF786480:SHF786484 RXJ786480:RXJ786484 RNN786480:RNN786484 RDR786480:RDR786484 QTV786480:QTV786484 QJZ786480:QJZ786484 QAD786480:QAD786484 PQH786480:PQH786484 PGL786480:PGL786484 OWP786480:OWP786484 OMT786480:OMT786484 OCX786480:OCX786484 NTB786480:NTB786484 NJF786480:NJF786484 MZJ786480:MZJ786484 MPN786480:MPN786484 MFR786480:MFR786484 LVV786480:LVV786484 LLZ786480:LLZ786484 LCD786480:LCD786484 KSH786480:KSH786484 KIL786480:KIL786484 JYP786480:JYP786484 JOT786480:JOT786484 JEX786480:JEX786484 IVB786480:IVB786484 ILF786480:ILF786484 IBJ786480:IBJ786484 HRN786480:HRN786484 HHR786480:HHR786484 GXV786480:GXV786484 GNZ786480:GNZ786484 GED786480:GED786484 FUH786480:FUH786484 FKL786480:FKL786484 FAP786480:FAP786484 EQT786480:EQT786484 EGX786480:EGX786484 DXB786480:DXB786484 DNF786480:DNF786484 DDJ786480:DDJ786484 CTN786480:CTN786484 CJR786480:CJR786484 BZV786480:BZV786484 BPZ786480:BPZ786484 BGD786480:BGD786484 AWH786480:AWH786484 AML786480:AML786484 ACP786480:ACP786484 ST786480:ST786484 IX786480:IX786484 B786480:B786484 WVJ720944:WVJ720948 WLN720944:WLN720948 WBR720944:WBR720948 VRV720944:VRV720948 VHZ720944:VHZ720948 UYD720944:UYD720948 UOH720944:UOH720948 UEL720944:UEL720948 TUP720944:TUP720948 TKT720944:TKT720948 TAX720944:TAX720948 SRB720944:SRB720948 SHF720944:SHF720948 RXJ720944:RXJ720948 RNN720944:RNN720948 RDR720944:RDR720948 QTV720944:QTV720948 QJZ720944:QJZ720948 QAD720944:QAD720948 PQH720944:PQH720948 PGL720944:PGL720948 OWP720944:OWP720948 OMT720944:OMT720948 OCX720944:OCX720948 NTB720944:NTB720948 NJF720944:NJF720948 MZJ720944:MZJ720948 MPN720944:MPN720948 MFR720944:MFR720948 LVV720944:LVV720948 LLZ720944:LLZ720948 LCD720944:LCD720948 KSH720944:KSH720948 KIL720944:KIL720948 JYP720944:JYP720948 JOT720944:JOT720948 JEX720944:JEX720948 IVB720944:IVB720948 ILF720944:ILF720948 IBJ720944:IBJ720948 HRN720944:HRN720948 HHR720944:HHR720948 GXV720944:GXV720948 GNZ720944:GNZ720948 GED720944:GED720948 FUH720944:FUH720948 FKL720944:FKL720948 FAP720944:FAP720948 EQT720944:EQT720948 EGX720944:EGX720948 DXB720944:DXB720948 DNF720944:DNF720948 DDJ720944:DDJ720948 CTN720944:CTN720948 CJR720944:CJR720948 BZV720944:BZV720948 BPZ720944:BPZ720948 BGD720944:BGD720948 AWH720944:AWH720948 AML720944:AML720948 ACP720944:ACP720948 ST720944:ST720948 IX720944:IX720948 B720944:B720948 WVJ655408:WVJ655412 WLN655408:WLN655412 WBR655408:WBR655412 VRV655408:VRV655412 VHZ655408:VHZ655412 UYD655408:UYD655412 UOH655408:UOH655412 UEL655408:UEL655412 TUP655408:TUP655412 TKT655408:TKT655412 TAX655408:TAX655412 SRB655408:SRB655412 SHF655408:SHF655412 RXJ655408:RXJ655412 RNN655408:RNN655412 RDR655408:RDR655412 QTV655408:QTV655412 QJZ655408:QJZ655412 QAD655408:QAD655412 PQH655408:PQH655412 PGL655408:PGL655412 OWP655408:OWP655412 OMT655408:OMT655412 OCX655408:OCX655412 NTB655408:NTB655412 NJF655408:NJF655412 MZJ655408:MZJ655412 MPN655408:MPN655412 MFR655408:MFR655412 LVV655408:LVV655412 LLZ655408:LLZ655412 LCD655408:LCD655412 KSH655408:KSH655412 KIL655408:KIL655412 JYP655408:JYP655412 JOT655408:JOT655412 JEX655408:JEX655412 IVB655408:IVB655412 ILF655408:ILF655412 IBJ655408:IBJ655412 HRN655408:HRN655412 HHR655408:HHR655412 GXV655408:GXV655412 GNZ655408:GNZ655412 GED655408:GED655412 FUH655408:FUH655412 FKL655408:FKL655412 FAP655408:FAP655412 EQT655408:EQT655412 EGX655408:EGX655412 DXB655408:DXB655412 DNF655408:DNF655412 DDJ655408:DDJ655412 CTN655408:CTN655412 CJR655408:CJR655412 BZV655408:BZV655412 BPZ655408:BPZ655412 BGD655408:BGD655412 AWH655408:AWH655412 AML655408:AML655412 ACP655408:ACP655412 ST655408:ST655412 IX655408:IX655412 B655408:B655412 WVJ589872:WVJ589876 WLN589872:WLN589876 WBR589872:WBR589876 VRV589872:VRV589876 VHZ589872:VHZ589876 UYD589872:UYD589876 UOH589872:UOH589876 UEL589872:UEL589876 TUP589872:TUP589876 TKT589872:TKT589876 TAX589872:TAX589876 SRB589872:SRB589876 SHF589872:SHF589876 RXJ589872:RXJ589876 RNN589872:RNN589876 RDR589872:RDR589876 QTV589872:QTV589876 QJZ589872:QJZ589876 QAD589872:QAD589876 PQH589872:PQH589876 PGL589872:PGL589876 OWP589872:OWP589876 OMT589872:OMT589876 OCX589872:OCX589876 NTB589872:NTB589876 NJF589872:NJF589876 MZJ589872:MZJ589876 MPN589872:MPN589876 MFR589872:MFR589876 LVV589872:LVV589876 LLZ589872:LLZ589876 LCD589872:LCD589876 KSH589872:KSH589876 KIL589872:KIL589876 JYP589872:JYP589876 JOT589872:JOT589876 JEX589872:JEX589876 IVB589872:IVB589876 ILF589872:ILF589876 IBJ589872:IBJ589876 HRN589872:HRN589876 HHR589872:HHR589876 GXV589872:GXV589876 GNZ589872:GNZ589876 GED589872:GED589876 FUH589872:FUH589876 FKL589872:FKL589876 FAP589872:FAP589876 EQT589872:EQT589876 EGX589872:EGX589876 DXB589872:DXB589876 DNF589872:DNF589876 DDJ589872:DDJ589876 CTN589872:CTN589876 CJR589872:CJR589876 BZV589872:BZV589876 BPZ589872:BPZ589876 BGD589872:BGD589876 AWH589872:AWH589876 AML589872:AML589876 ACP589872:ACP589876 ST589872:ST589876 IX589872:IX589876 B589872:B589876 WVJ524336:WVJ524340 WLN524336:WLN524340 WBR524336:WBR524340 VRV524336:VRV524340 VHZ524336:VHZ524340 UYD524336:UYD524340 UOH524336:UOH524340 UEL524336:UEL524340 TUP524336:TUP524340 TKT524336:TKT524340 TAX524336:TAX524340 SRB524336:SRB524340 SHF524336:SHF524340 RXJ524336:RXJ524340 RNN524336:RNN524340 RDR524336:RDR524340 QTV524336:QTV524340 QJZ524336:QJZ524340 QAD524336:QAD524340 PQH524336:PQH524340 PGL524336:PGL524340 OWP524336:OWP524340 OMT524336:OMT524340 OCX524336:OCX524340 NTB524336:NTB524340 NJF524336:NJF524340 MZJ524336:MZJ524340 MPN524336:MPN524340 MFR524336:MFR524340 LVV524336:LVV524340 LLZ524336:LLZ524340 LCD524336:LCD524340 KSH524336:KSH524340 KIL524336:KIL524340 JYP524336:JYP524340 JOT524336:JOT524340 JEX524336:JEX524340 IVB524336:IVB524340 ILF524336:ILF524340 IBJ524336:IBJ524340 HRN524336:HRN524340 HHR524336:HHR524340 GXV524336:GXV524340 GNZ524336:GNZ524340 GED524336:GED524340 FUH524336:FUH524340 FKL524336:FKL524340 FAP524336:FAP524340 EQT524336:EQT524340 EGX524336:EGX524340 DXB524336:DXB524340 DNF524336:DNF524340 DDJ524336:DDJ524340 CTN524336:CTN524340 CJR524336:CJR524340 BZV524336:BZV524340 BPZ524336:BPZ524340 BGD524336:BGD524340 AWH524336:AWH524340 AML524336:AML524340 ACP524336:ACP524340 ST524336:ST524340 IX524336:IX524340 B524336:B524340 WVJ458800:WVJ458804 WLN458800:WLN458804 WBR458800:WBR458804 VRV458800:VRV458804 VHZ458800:VHZ458804 UYD458800:UYD458804 UOH458800:UOH458804 UEL458800:UEL458804 TUP458800:TUP458804 TKT458800:TKT458804 TAX458800:TAX458804 SRB458800:SRB458804 SHF458800:SHF458804 RXJ458800:RXJ458804 RNN458800:RNN458804 RDR458800:RDR458804 QTV458800:QTV458804 QJZ458800:QJZ458804 QAD458800:QAD458804 PQH458800:PQH458804 PGL458800:PGL458804 OWP458800:OWP458804 OMT458800:OMT458804 OCX458800:OCX458804 NTB458800:NTB458804 NJF458800:NJF458804 MZJ458800:MZJ458804 MPN458800:MPN458804 MFR458800:MFR458804 LVV458800:LVV458804 LLZ458800:LLZ458804 LCD458800:LCD458804 KSH458800:KSH458804 KIL458800:KIL458804 JYP458800:JYP458804 JOT458800:JOT458804 JEX458800:JEX458804 IVB458800:IVB458804 ILF458800:ILF458804 IBJ458800:IBJ458804 HRN458800:HRN458804 HHR458800:HHR458804 GXV458800:GXV458804 GNZ458800:GNZ458804 GED458800:GED458804 FUH458800:FUH458804 FKL458800:FKL458804 FAP458800:FAP458804 EQT458800:EQT458804 EGX458800:EGX458804 DXB458800:DXB458804 DNF458800:DNF458804 DDJ458800:DDJ458804 CTN458800:CTN458804 CJR458800:CJR458804 BZV458800:BZV458804 BPZ458800:BPZ458804 BGD458800:BGD458804 AWH458800:AWH458804 AML458800:AML458804 ACP458800:ACP458804 ST458800:ST458804 IX458800:IX458804 B458800:B458804 WVJ393264:WVJ393268 WLN393264:WLN393268 WBR393264:WBR393268 VRV393264:VRV393268 VHZ393264:VHZ393268 UYD393264:UYD393268 UOH393264:UOH393268 UEL393264:UEL393268 TUP393264:TUP393268 TKT393264:TKT393268 TAX393264:TAX393268 SRB393264:SRB393268 SHF393264:SHF393268 RXJ393264:RXJ393268 RNN393264:RNN393268 RDR393264:RDR393268 QTV393264:QTV393268 QJZ393264:QJZ393268 QAD393264:QAD393268 PQH393264:PQH393268 PGL393264:PGL393268 OWP393264:OWP393268 OMT393264:OMT393268 OCX393264:OCX393268 NTB393264:NTB393268 NJF393264:NJF393268 MZJ393264:MZJ393268 MPN393264:MPN393268 MFR393264:MFR393268 LVV393264:LVV393268 LLZ393264:LLZ393268 LCD393264:LCD393268 KSH393264:KSH393268 KIL393264:KIL393268 JYP393264:JYP393268 JOT393264:JOT393268 JEX393264:JEX393268 IVB393264:IVB393268 ILF393264:ILF393268 IBJ393264:IBJ393268 HRN393264:HRN393268 HHR393264:HHR393268 GXV393264:GXV393268 GNZ393264:GNZ393268 GED393264:GED393268 FUH393264:FUH393268 FKL393264:FKL393268 FAP393264:FAP393268 EQT393264:EQT393268 EGX393264:EGX393268 DXB393264:DXB393268 DNF393264:DNF393268 DDJ393264:DDJ393268 CTN393264:CTN393268 CJR393264:CJR393268 BZV393264:BZV393268 BPZ393264:BPZ393268 BGD393264:BGD393268 AWH393264:AWH393268 AML393264:AML393268 ACP393264:ACP393268 ST393264:ST393268 IX393264:IX393268 B393264:B393268 WVJ327728:WVJ327732 WLN327728:WLN327732 WBR327728:WBR327732 VRV327728:VRV327732 VHZ327728:VHZ327732 UYD327728:UYD327732 UOH327728:UOH327732 UEL327728:UEL327732 TUP327728:TUP327732 TKT327728:TKT327732 TAX327728:TAX327732 SRB327728:SRB327732 SHF327728:SHF327732 RXJ327728:RXJ327732 RNN327728:RNN327732 RDR327728:RDR327732 QTV327728:QTV327732 QJZ327728:QJZ327732 QAD327728:QAD327732 PQH327728:PQH327732 PGL327728:PGL327732 OWP327728:OWP327732 OMT327728:OMT327732 OCX327728:OCX327732 NTB327728:NTB327732 NJF327728:NJF327732 MZJ327728:MZJ327732 MPN327728:MPN327732 MFR327728:MFR327732 LVV327728:LVV327732 LLZ327728:LLZ327732 LCD327728:LCD327732 KSH327728:KSH327732 KIL327728:KIL327732 JYP327728:JYP327732 JOT327728:JOT327732 JEX327728:JEX327732 IVB327728:IVB327732 ILF327728:ILF327732 IBJ327728:IBJ327732 HRN327728:HRN327732 HHR327728:HHR327732 GXV327728:GXV327732 GNZ327728:GNZ327732 GED327728:GED327732 FUH327728:FUH327732 FKL327728:FKL327732 FAP327728:FAP327732 EQT327728:EQT327732 EGX327728:EGX327732 DXB327728:DXB327732 DNF327728:DNF327732 DDJ327728:DDJ327732 CTN327728:CTN327732 CJR327728:CJR327732 BZV327728:BZV327732 BPZ327728:BPZ327732 BGD327728:BGD327732 AWH327728:AWH327732 AML327728:AML327732 ACP327728:ACP327732 ST327728:ST327732 IX327728:IX327732 B327728:B327732 WVJ262192:WVJ262196 WLN262192:WLN262196 WBR262192:WBR262196 VRV262192:VRV262196 VHZ262192:VHZ262196 UYD262192:UYD262196 UOH262192:UOH262196 UEL262192:UEL262196 TUP262192:TUP262196 TKT262192:TKT262196 TAX262192:TAX262196 SRB262192:SRB262196 SHF262192:SHF262196 RXJ262192:RXJ262196 RNN262192:RNN262196 RDR262192:RDR262196 QTV262192:QTV262196 QJZ262192:QJZ262196 QAD262192:QAD262196 PQH262192:PQH262196 PGL262192:PGL262196 OWP262192:OWP262196 OMT262192:OMT262196 OCX262192:OCX262196 NTB262192:NTB262196 NJF262192:NJF262196 MZJ262192:MZJ262196 MPN262192:MPN262196 MFR262192:MFR262196 LVV262192:LVV262196 LLZ262192:LLZ262196 LCD262192:LCD262196 KSH262192:KSH262196 KIL262192:KIL262196 JYP262192:JYP262196 JOT262192:JOT262196 JEX262192:JEX262196 IVB262192:IVB262196 ILF262192:ILF262196 IBJ262192:IBJ262196 HRN262192:HRN262196 HHR262192:HHR262196 GXV262192:GXV262196 GNZ262192:GNZ262196 GED262192:GED262196 FUH262192:FUH262196 FKL262192:FKL262196 FAP262192:FAP262196 EQT262192:EQT262196 EGX262192:EGX262196 DXB262192:DXB262196 DNF262192:DNF262196 DDJ262192:DDJ262196 CTN262192:CTN262196 CJR262192:CJR262196 BZV262192:BZV262196 BPZ262192:BPZ262196 BGD262192:BGD262196 AWH262192:AWH262196 AML262192:AML262196 ACP262192:ACP262196 ST262192:ST262196 IX262192:IX262196 B262192:B262196 WVJ196656:WVJ196660 WLN196656:WLN196660 WBR196656:WBR196660 VRV196656:VRV196660 VHZ196656:VHZ196660 UYD196656:UYD196660 UOH196656:UOH196660 UEL196656:UEL196660 TUP196656:TUP196660 TKT196656:TKT196660 TAX196656:TAX196660 SRB196656:SRB196660 SHF196656:SHF196660 RXJ196656:RXJ196660 RNN196656:RNN196660 RDR196656:RDR196660 QTV196656:QTV196660 QJZ196656:QJZ196660 QAD196656:QAD196660 PQH196656:PQH196660 PGL196656:PGL196660 OWP196656:OWP196660 OMT196656:OMT196660 OCX196656:OCX196660 NTB196656:NTB196660 NJF196656:NJF196660 MZJ196656:MZJ196660 MPN196656:MPN196660 MFR196656:MFR196660 LVV196656:LVV196660 LLZ196656:LLZ196660 LCD196656:LCD196660 KSH196656:KSH196660 KIL196656:KIL196660 JYP196656:JYP196660 JOT196656:JOT196660 JEX196656:JEX196660 IVB196656:IVB196660 ILF196656:ILF196660 IBJ196656:IBJ196660 HRN196656:HRN196660 HHR196656:HHR196660 GXV196656:GXV196660 GNZ196656:GNZ196660 GED196656:GED196660 FUH196656:FUH196660 FKL196656:FKL196660 FAP196656:FAP196660 EQT196656:EQT196660 EGX196656:EGX196660 DXB196656:DXB196660 DNF196656:DNF196660 DDJ196656:DDJ196660 CTN196656:CTN196660 CJR196656:CJR196660 BZV196656:BZV196660 BPZ196656:BPZ196660 BGD196656:BGD196660 AWH196656:AWH196660 AML196656:AML196660 ACP196656:ACP196660 ST196656:ST196660 IX196656:IX196660 B196656:B196660 WVJ131120:WVJ131124 WLN131120:WLN131124 WBR131120:WBR131124 VRV131120:VRV131124 VHZ131120:VHZ131124 UYD131120:UYD131124 UOH131120:UOH131124 UEL131120:UEL131124 TUP131120:TUP131124 TKT131120:TKT131124 TAX131120:TAX131124 SRB131120:SRB131124 SHF131120:SHF131124 RXJ131120:RXJ131124 RNN131120:RNN131124 RDR131120:RDR131124 QTV131120:QTV131124 QJZ131120:QJZ131124 QAD131120:QAD131124 PQH131120:PQH131124 PGL131120:PGL131124 OWP131120:OWP131124 OMT131120:OMT131124 OCX131120:OCX131124 NTB131120:NTB131124 NJF131120:NJF131124 MZJ131120:MZJ131124 MPN131120:MPN131124 MFR131120:MFR131124 LVV131120:LVV131124 LLZ131120:LLZ131124 LCD131120:LCD131124 KSH131120:KSH131124 KIL131120:KIL131124 JYP131120:JYP131124 JOT131120:JOT131124 JEX131120:JEX131124 IVB131120:IVB131124 ILF131120:ILF131124 IBJ131120:IBJ131124 HRN131120:HRN131124 HHR131120:HHR131124 GXV131120:GXV131124 GNZ131120:GNZ131124 GED131120:GED131124 FUH131120:FUH131124 FKL131120:FKL131124 FAP131120:FAP131124 EQT131120:EQT131124 EGX131120:EGX131124 DXB131120:DXB131124 DNF131120:DNF131124 DDJ131120:DDJ131124 CTN131120:CTN131124 CJR131120:CJR131124 BZV131120:BZV131124 BPZ131120:BPZ131124 BGD131120:BGD131124 AWH131120:AWH131124 AML131120:AML131124 ACP131120:ACP131124 ST131120:ST131124 IX131120:IX131124 B131120:B131124 WVJ65584:WVJ65588 WLN65584:WLN65588 WBR65584:WBR65588 VRV65584:VRV65588 VHZ65584:VHZ65588 UYD65584:UYD65588 UOH65584:UOH65588 UEL65584:UEL65588 TUP65584:TUP65588 TKT65584:TKT65588 TAX65584:TAX65588 SRB65584:SRB65588 SHF65584:SHF65588 RXJ65584:RXJ65588 RNN65584:RNN65588 RDR65584:RDR65588 QTV65584:QTV65588 QJZ65584:QJZ65588 QAD65584:QAD65588 PQH65584:PQH65588 PGL65584:PGL65588 OWP65584:OWP65588 OMT65584:OMT65588 OCX65584:OCX65588 NTB65584:NTB65588 NJF65584:NJF65588 MZJ65584:MZJ65588 MPN65584:MPN65588 MFR65584:MFR65588 LVV65584:LVV65588 LLZ65584:LLZ65588 LCD65584:LCD65588 KSH65584:KSH65588 KIL65584:KIL65588 JYP65584:JYP65588 JOT65584:JOT65588 JEX65584:JEX65588 IVB65584:IVB65588 ILF65584:ILF65588 IBJ65584:IBJ65588 HRN65584:HRN65588 HHR65584:HHR65588 GXV65584:GXV65588 GNZ65584:GNZ65588 GED65584:GED65588 FUH65584:FUH65588 FKL65584:FKL65588 FAP65584:FAP65588 EQT65584:EQT65588 EGX65584:EGX65588 DXB65584:DXB65588 DNF65584:DNF65588 DDJ65584:DDJ65588 CTN65584:CTN65588 CJR65584:CJR65588 BZV65584:BZV65588 BPZ65584:BPZ65588 BGD65584:BGD65588 AWH65584:AWH65588 AML65584:AML65588 ACP65584:ACP65588 ST65584:ST65588 WVJ983097:WVJ983098 B65593:B65594 IX65593:IX65594 ST65593:ST65594 ACP65593:ACP65594 AML65593:AML65594 AWH65593:AWH65594 BGD65593:BGD65594 BPZ65593:BPZ65594 BZV65593:BZV65594 CJR65593:CJR65594 CTN65593:CTN65594 DDJ65593:DDJ65594 DNF65593:DNF65594 DXB65593:DXB65594 EGX65593:EGX65594 EQT65593:EQT65594 FAP65593:FAP65594 FKL65593:FKL65594 FUH65593:FUH65594 GED65593:GED65594 GNZ65593:GNZ65594 GXV65593:GXV65594 HHR65593:HHR65594 HRN65593:HRN65594 IBJ65593:IBJ65594 ILF65593:ILF65594 IVB65593:IVB65594 JEX65593:JEX65594 JOT65593:JOT65594 JYP65593:JYP65594 KIL65593:KIL65594 KSH65593:KSH65594 LCD65593:LCD65594 LLZ65593:LLZ65594 LVV65593:LVV65594 MFR65593:MFR65594 MPN65593:MPN65594 MZJ65593:MZJ65594 NJF65593:NJF65594 NTB65593:NTB65594 OCX65593:OCX65594 OMT65593:OMT65594 OWP65593:OWP65594 PGL65593:PGL65594 PQH65593:PQH65594 QAD65593:QAD65594 QJZ65593:QJZ65594 QTV65593:QTV65594 RDR65593:RDR65594 RNN65593:RNN65594 RXJ65593:RXJ65594 SHF65593:SHF65594 SRB65593:SRB65594 TAX65593:TAX65594 TKT65593:TKT65594 TUP65593:TUP65594 UEL65593:UEL65594 UOH65593:UOH65594 UYD65593:UYD65594 VHZ65593:VHZ65594 VRV65593:VRV65594 WBR65593:WBR65594 WLN65593:WLN65594 WVJ65593:WVJ65594 B131129:B131130 IX131129:IX131130 ST131129:ST131130 ACP131129:ACP131130 AML131129:AML131130 AWH131129:AWH131130 BGD131129:BGD131130 BPZ131129:BPZ131130 BZV131129:BZV131130 CJR131129:CJR131130 CTN131129:CTN131130 DDJ131129:DDJ131130 DNF131129:DNF131130 DXB131129:DXB131130 EGX131129:EGX131130 EQT131129:EQT131130 FAP131129:FAP131130 FKL131129:FKL131130 FUH131129:FUH131130 GED131129:GED131130 GNZ131129:GNZ131130 GXV131129:GXV131130 HHR131129:HHR131130 HRN131129:HRN131130 IBJ131129:IBJ131130 ILF131129:ILF131130 IVB131129:IVB131130 JEX131129:JEX131130 JOT131129:JOT131130 JYP131129:JYP131130 KIL131129:KIL131130 KSH131129:KSH131130 LCD131129:LCD131130 LLZ131129:LLZ131130 LVV131129:LVV131130 MFR131129:MFR131130 MPN131129:MPN131130 MZJ131129:MZJ131130 NJF131129:NJF131130 NTB131129:NTB131130 OCX131129:OCX131130 OMT131129:OMT131130 OWP131129:OWP131130 PGL131129:PGL131130 PQH131129:PQH131130 QAD131129:QAD131130 QJZ131129:QJZ131130 QTV131129:QTV131130 RDR131129:RDR131130 RNN131129:RNN131130 RXJ131129:RXJ131130 SHF131129:SHF131130 SRB131129:SRB131130 TAX131129:TAX131130 TKT131129:TKT131130 TUP131129:TUP131130 UEL131129:UEL131130 UOH131129:UOH131130 UYD131129:UYD131130 VHZ131129:VHZ131130 VRV131129:VRV131130 WBR131129:WBR131130 WLN131129:WLN131130 WVJ131129:WVJ131130 B196665:B196666 IX196665:IX196666 ST196665:ST196666 ACP196665:ACP196666 AML196665:AML196666 AWH196665:AWH196666 BGD196665:BGD196666 BPZ196665:BPZ196666 BZV196665:BZV196666 CJR196665:CJR196666 CTN196665:CTN196666 DDJ196665:DDJ196666 DNF196665:DNF196666 DXB196665:DXB196666 EGX196665:EGX196666 EQT196665:EQT196666 FAP196665:FAP196666 FKL196665:FKL196666 FUH196665:FUH196666 GED196665:GED196666 GNZ196665:GNZ196666 GXV196665:GXV196666 HHR196665:HHR196666 HRN196665:HRN196666 IBJ196665:IBJ196666 ILF196665:ILF196666 IVB196665:IVB196666 JEX196665:JEX196666 JOT196665:JOT196666 JYP196665:JYP196666 KIL196665:KIL196666 KSH196665:KSH196666 LCD196665:LCD196666 LLZ196665:LLZ196666 LVV196665:LVV196666 MFR196665:MFR196666 MPN196665:MPN196666 MZJ196665:MZJ196666 NJF196665:NJF196666 NTB196665:NTB196666 OCX196665:OCX196666 OMT196665:OMT196666 OWP196665:OWP196666 PGL196665:PGL196666 PQH196665:PQH196666 QAD196665:QAD196666 QJZ196665:QJZ196666 QTV196665:QTV196666 RDR196665:RDR196666 RNN196665:RNN196666 RXJ196665:RXJ196666 SHF196665:SHF196666 SRB196665:SRB196666 TAX196665:TAX196666 TKT196665:TKT196666 TUP196665:TUP196666 UEL196665:UEL196666 UOH196665:UOH196666 UYD196665:UYD196666 VHZ196665:VHZ196666 VRV196665:VRV196666 WBR196665:WBR196666 WLN196665:WLN196666 WVJ196665:WVJ196666 B262201:B262202 IX262201:IX262202 ST262201:ST262202 ACP262201:ACP262202 AML262201:AML262202 AWH262201:AWH262202 BGD262201:BGD262202 BPZ262201:BPZ262202 BZV262201:BZV262202 CJR262201:CJR262202 CTN262201:CTN262202 DDJ262201:DDJ262202 DNF262201:DNF262202 DXB262201:DXB262202 EGX262201:EGX262202 EQT262201:EQT262202 FAP262201:FAP262202 FKL262201:FKL262202 FUH262201:FUH262202 GED262201:GED262202 GNZ262201:GNZ262202 GXV262201:GXV262202 HHR262201:HHR262202 HRN262201:HRN262202 IBJ262201:IBJ262202 ILF262201:ILF262202 IVB262201:IVB262202 JEX262201:JEX262202 JOT262201:JOT262202 JYP262201:JYP262202 KIL262201:KIL262202 KSH262201:KSH262202 LCD262201:LCD262202 LLZ262201:LLZ262202 LVV262201:LVV262202 MFR262201:MFR262202 MPN262201:MPN262202 MZJ262201:MZJ262202 NJF262201:NJF262202 NTB262201:NTB262202 OCX262201:OCX262202 OMT262201:OMT262202 OWP262201:OWP262202 PGL262201:PGL262202 PQH262201:PQH262202 QAD262201:QAD262202 QJZ262201:QJZ262202 QTV262201:QTV262202 RDR262201:RDR262202 RNN262201:RNN262202 RXJ262201:RXJ262202 SHF262201:SHF262202 SRB262201:SRB262202 TAX262201:TAX262202 TKT262201:TKT262202 TUP262201:TUP262202 UEL262201:UEL262202 UOH262201:UOH262202 UYD262201:UYD262202 VHZ262201:VHZ262202 VRV262201:VRV262202 WBR262201:WBR262202 WLN262201:WLN262202 WVJ262201:WVJ262202 B327737:B327738 IX327737:IX327738 ST327737:ST327738 ACP327737:ACP327738 AML327737:AML327738 AWH327737:AWH327738 BGD327737:BGD327738 BPZ327737:BPZ327738 BZV327737:BZV327738 CJR327737:CJR327738 CTN327737:CTN327738 DDJ327737:DDJ327738 DNF327737:DNF327738 DXB327737:DXB327738 EGX327737:EGX327738 EQT327737:EQT327738 FAP327737:FAP327738 FKL327737:FKL327738 FUH327737:FUH327738 GED327737:GED327738 GNZ327737:GNZ327738 GXV327737:GXV327738 HHR327737:HHR327738 HRN327737:HRN327738 IBJ327737:IBJ327738 ILF327737:ILF327738 IVB327737:IVB327738 JEX327737:JEX327738 JOT327737:JOT327738 JYP327737:JYP327738 KIL327737:KIL327738 KSH327737:KSH327738 LCD327737:LCD327738 LLZ327737:LLZ327738 LVV327737:LVV327738 MFR327737:MFR327738 MPN327737:MPN327738 MZJ327737:MZJ327738 NJF327737:NJF327738 NTB327737:NTB327738 OCX327737:OCX327738 OMT327737:OMT327738 OWP327737:OWP327738 PGL327737:PGL327738 PQH327737:PQH327738 QAD327737:QAD327738 QJZ327737:QJZ327738 QTV327737:QTV327738 RDR327737:RDR327738 RNN327737:RNN327738 RXJ327737:RXJ327738 SHF327737:SHF327738 SRB327737:SRB327738 TAX327737:TAX327738 TKT327737:TKT327738 TUP327737:TUP327738 UEL327737:UEL327738 UOH327737:UOH327738 UYD327737:UYD327738 VHZ327737:VHZ327738 VRV327737:VRV327738 WBR327737:WBR327738 WLN327737:WLN327738 WVJ327737:WVJ327738 B393273:B393274 IX393273:IX393274 ST393273:ST393274 ACP393273:ACP393274 AML393273:AML393274 AWH393273:AWH393274 BGD393273:BGD393274 BPZ393273:BPZ393274 BZV393273:BZV393274 CJR393273:CJR393274 CTN393273:CTN393274 DDJ393273:DDJ393274 DNF393273:DNF393274 DXB393273:DXB393274 EGX393273:EGX393274 EQT393273:EQT393274 FAP393273:FAP393274 FKL393273:FKL393274 FUH393273:FUH393274 GED393273:GED393274 GNZ393273:GNZ393274 GXV393273:GXV393274 HHR393273:HHR393274 HRN393273:HRN393274 IBJ393273:IBJ393274 ILF393273:ILF393274 IVB393273:IVB393274 JEX393273:JEX393274 JOT393273:JOT393274 JYP393273:JYP393274 KIL393273:KIL393274 KSH393273:KSH393274 LCD393273:LCD393274 LLZ393273:LLZ393274 LVV393273:LVV393274 MFR393273:MFR393274 MPN393273:MPN393274 MZJ393273:MZJ393274 NJF393273:NJF393274 NTB393273:NTB393274 OCX393273:OCX393274 OMT393273:OMT393274 OWP393273:OWP393274 PGL393273:PGL393274 PQH393273:PQH393274 QAD393273:QAD393274 QJZ393273:QJZ393274 QTV393273:QTV393274 RDR393273:RDR393274 RNN393273:RNN393274 RXJ393273:RXJ393274 SHF393273:SHF393274 SRB393273:SRB393274 TAX393273:TAX393274 TKT393273:TKT393274 TUP393273:TUP393274 UEL393273:UEL393274 UOH393273:UOH393274 UYD393273:UYD393274 VHZ393273:VHZ393274 VRV393273:VRV393274 WBR393273:WBR393274 WLN393273:WLN393274 WVJ393273:WVJ393274 B458809:B458810 IX458809:IX458810 ST458809:ST458810 ACP458809:ACP458810 AML458809:AML458810 AWH458809:AWH458810 BGD458809:BGD458810 BPZ458809:BPZ458810 BZV458809:BZV458810 CJR458809:CJR458810 CTN458809:CTN458810 DDJ458809:DDJ458810 DNF458809:DNF458810 DXB458809:DXB458810 EGX458809:EGX458810 EQT458809:EQT458810 FAP458809:FAP458810 FKL458809:FKL458810 FUH458809:FUH458810 GED458809:GED458810 GNZ458809:GNZ458810 GXV458809:GXV458810 HHR458809:HHR458810 HRN458809:HRN458810 IBJ458809:IBJ458810 ILF458809:ILF458810 IVB458809:IVB458810 JEX458809:JEX458810 JOT458809:JOT458810 JYP458809:JYP458810 KIL458809:KIL458810 KSH458809:KSH458810 LCD458809:LCD458810 LLZ458809:LLZ458810 LVV458809:LVV458810 MFR458809:MFR458810 MPN458809:MPN458810 MZJ458809:MZJ458810 NJF458809:NJF458810 NTB458809:NTB458810 OCX458809:OCX458810 OMT458809:OMT458810 OWP458809:OWP458810 PGL458809:PGL458810 PQH458809:PQH458810 QAD458809:QAD458810 QJZ458809:QJZ458810 QTV458809:QTV458810 RDR458809:RDR458810 RNN458809:RNN458810 RXJ458809:RXJ458810 SHF458809:SHF458810 SRB458809:SRB458810 TAX458809:TAX458810 TKT458809:TKT458810 TUP458809:TUP458810 UEL458809:UEL458810 UOH458809:UOH458810 UYD458809:UYD458810 VHZ458809:VHZ458810 VRV458809:VRV458810 WBR458809:WBR458810 WLN458809:WLN458810 WVJ458809:WVJ458810 B524345:B524346 IX524345:IX524346 ST524345:ST524346 ACP524345:ACP524346 AML524345:AML524346 AWH524345:AWH524346 BGD524345:BGD524346 BPZ524345:BPZ524346 BZV524345:BZV524346 CJR524345:CJR524346 CTN524345:CTN524346 DDJ524345:DDJ524346 DNF524345:DNF524346 DXB524345:DXB524346 EGX524345:EGX524346 EQT524345:EQT524346 FAP524345:FAP524346 FKL524345:FKL524346 FUH524345:FUH524346 GED524345:GED524346 GNZ524345:GNZ524346 GXV524345:GXV524346 HHR524345:HHR524346 HRN524345:HRN524346 IBJ524345:IBJ524346 ILF524345:ILF524346 IVB524345:IVB524346 JEX524345:JEX524346 JOT524345:JOT524346 JYP524345:JYP524346 KIL524345:KIL524346 KSH524345:KSH524346 LCD524345:LCD524346 LLZ524345:LLZ524346 LVV524345:LVV524346 MFR524345:MFR524346 MPN524345:MPN524346 MZJ524345:MZJ524346 NJF524345:NJF524346 NTB524345:NTB524346 OCX524345:OCX524346 OMT524345:OMT524346 OWP524345:OWP524346 PGL524345:PGL524346 PQH524345:PQH524346 QAD524345:QAD524346 QJZ524345:QJZ524346 QTV524345:QTV524346 RDR524345:RDR524346 RNN524345:RNN524346 RXJ524345:RXJ524346 SHF524345:SHF524346 SRB524345:SRB524346 TAX524345:TAX524346 TKT524345:TKT524346 TUP524345:TUP524346 UEL524345:UEL524346 UOH524345:UOH524346 UYD524345:UYD524346 VHZ524345:VHZ524346 VRV524345:VRV524346 WBR524345:WBR524346 WLN524345:WLN524346 WVJ524345:WVJ524346 B589881:B589882 IX589881:IX589882 ST589881:ST589882 ACP589881:ACP589882 AML589881:AML589882 AWH589881:AWH589882 BGD589881:BGD589882 BPZ589881:BPZ589882 BZV589881:BZV589882 CJR589881:CJR589882 CTN589881:CTN589882 DDJ589881:DDJ589882 DNF589881:DNF589882 DXB589881:DXB589882 EGX589881:EGX589882 EQT589881:EQT589882 FAP589881:FAP589882 FKL589881:FKL589882 FUH589881:FUH589882 GED589881:GED589882 GNZ589881:GNZ589882 GXV589881:GXV589882 HHR589881:HHR589882 HRN589881:HRN589882 IBJ589881:IBJ589882 ILF589881:ILF589882 IVB589881:IVB589882 JEX589881:JEX589882 JOT589881:JOT589882 JYP589881:JYP589882 KIL589881:KIL589882 KSH589881:KSH589882 LCD589881:LCD589882 LLZ589881:LLZ589882 LVV589881:LVV589882 MFR589881:MFR589882 MPN589881:MPN589882 MZJ589881:MZJ589882 NJF589881:NJF589882 NTB589881:NTB589882 OCX589881:OCX589882 OMT589881:OMT589882 OWP589881:OWP589882 PGL589881:PGL589882 PQH589881:PQH589882 QAD589881:QAD589882 QJZ589881:QJZ589882 QTV589881:QTV589882 RDR589881:RDR589882 RNN589881:RNN589882 RXJ589881:RXJ589882 SHF589881:SHF589882 SRB589881:SRB589882 TAX589881:TAX589882 TKT589881:TKT589882 TUP589881:TUP589882 UEL589881:UEL589882 UOH589881:UOH589882 UYD589881:UYD589882 VHZ589881:VHZ589882 VRV589881:VRV589882 WBR589881:WBR589882 WLN589881:WLN589882 WVJ589881:WVJ589882 B655417:B655418 IX655417:IX655418 ST655417:ST655418 ACP655417:ACP655418 AML655417:AML655418 AWH655417:AWH655418 BGD655417:BGD655418 BPZ655417:BPZ655418 BZV655417:BZV655418 CJR655417:CJR655418 CTN655417:CTN655418 DDJ655417:DDJ655418 DNF655417:DNF655418 DXB655417:DXB655418 EGX655417:EGX655418 EQT655417:EQT655418 FAP655417:FAP655418 FKL655417:FKL655418 FUH655417:FUH655418 GED655417:GED655418 GNZ655417:GNZ655418 GXV655417:GXV655418 HHR655417:HHR655418 HRN655417:HRN655418 IBJ655417:IBJ655418 ILF655417:ILF655418 IVB655417:IVB655418 JEX655417:JEX655418 JOT655417:JOT655418 JYP655417:JYP655418 KIL655417:KIL655418 KSH655417:KSH655418 LCD655417:LCD655418 LLZ655417:LLZ655418 LVV655417:LVV655418 MFR655417:MFR655418 MPN655417:MPN655418 MZJ655417:MZJ655418 NJF655417:NJF655418 NTB655417:NTB655418 OCX655417:OCX655418 OMT655417:OMT655418 OWP655417:OWP655418 PGL655417:PGL655418 PQH655417:PQH655418 QAD655417:QAD655418 QJZ655417:QJZ655418 QTV655417:QTV655418 RDR655417:RDR655418 RNN655417:RNN655418 RXJ655417:RXJ655418 SHF655417:SHF655418 SRB655417:SRB655418 TAX655417:TAX655418 TKT655417:TKT655418 TUP655417:TUP655418 UEL655417:UEL655418 UOH655417:UOH655418 UYD655417:UYD655418 VHZ655417:VHZ655418 VRV655417:VRV655418 WBR655417:WBR655418 WLN655417:WLN655418 WVJ655417:WVJ655418 B720953:B720954 IX720953:IX720954 ST720953:ST720954 ACP720953:ACP720954 AML720953:AML720954 AWH720953:AWH720954 BGD720953:BGD720954 BPZ720953:BPZ720954 BZV720953:BZV720954 CJR720953:CJR720954 CTN720953:CTN720954 DDJ720953:DDJ720954 DNF720953:DNF720954 DXB720953:DXB720954 EGX720953:EGX720954 EQT720953:EQT720954 FAP720953:FAP720954 FKL720953:FKL720954 FUH720953:FUH720954 GED720953:GED720954 GNZ720953:GNZ720954 GXV720953:GXV720954 HHR720953:HHR720954 HRN720953:HRN720954 IBJ720953:IBJ720954 ILF720953:ILF720954 IVB720953:IVB720954 JEX720953:JEX720954 JOT720953:JOT720954 JYP720953:JYP720954 KIL720953:KIL720954 KSH720953:KSH720954 LCD720953:LCD720954 LLZ720953:LLZ720954 LVV720953:LVV720954 MFR720953:MFR720954 MPN720953:MPN720954 MZJ720953:MZJ720954 NJF720953:NJF720954 NTB720953:NTB720954 OCX720953:OCX720954 OMT720953:OMT720954 OWP720953:OWP720954 PGL720953:PGL720954 PQH720953:PQH720954 QAD720953:QAD720954 QJZ720953:QJZ720954 QTV720953:QTV720954 RDR720953:RDR720954 RNN720953:RNN720954 RXJ720953:RXJ720954 SHF720953:SHF720954 SRB720953:SRB720954 TAX720953:TAX720954 TKT720953:TKT720954 TUP720953:TUP720954 UEL720953:UEL720954 UOH720953:UOH720954 UYD720953:UYD720954 VHZ720953:VHZ720954 VRV720953:VRV720954 WBR720953:WBR720954 WLN720953:WLN720954 WVJ720953:WVJ720954 B786489:B786490 IX786489:IX786490 ST786489:ST786490 ACP786489:ACP786490 AML786489:AML786490 AWH786489:AWH786490 BGD786489:BGD786490 BPZ786489:BPZ786490 BZV786489:BZV786490 CJR786489:CJR786490 CTN786489:CTN786490 DDJ786489:DDJ786490 DNF786489:DNF786490 DXB786489:DXB786490 EGX786489:EGX786490 EQT786489:EQT786490 FAP786489:FAP786490 FKL786489:FKL786490 FUH786489:FUH786490 GED786489:GED786490 GNZ786489:GNZ786490 GXV786489:GXV786490 HHR786489:HHR786490 HRN786489:HRN786490 IBJ786489:IBJ786490 ILF786489:ILF786490 IVB786489:IVB786490 JEX786489:JEX786490 JOT786489:JOT786490 JYP786489:JYP786490 KIL786489:KIL786490 KSH786489:KSH786490 LCD786489:LCD786490 LLZ786489:LLZ786490 LVV786489:LVV786490 MFR786489:MFR786490 MPN786489:MPN786490 MZJ786489:MZJ786490 NJF786489:NJF786490 NTB786489:NTB786490 OCX786489:OCX786490 OMT786489:OMT786490 OWP786489:OWP786490 PGL786489:PGL786490 PQH786489:PQH786490 QAD786489:QAD786490 QJZ786489:QJZ786490 QTV786489:QTV786490 RDR786489:RDR786490 RNN786489:RNN786490 RXJ786489:RXJ786490 SHF786489:SHF786490 SRB786489:SRB786490 TAX786489:TAX786490 TKT786489:TKT786490 TUP786489:TUP786490 UEL786489:UEL786490 UOH786489:UOH786490 UYD786489:UYD786490 VHZ786489:VHZ786490 VRV786489:VRV786490 WBR786489:WBR786490 WLN786489:WLN786490 WVJ786489:WVJ786490 B852025:B852026 IX852025:IX852026 ST852025:ST852026 ACP852025:ACP852026 AML852025:AML852026 AWH852025:AWH852026 BGD852025:BGD852026 BPZ852025:BPZ852026 BZV852025:BZV852026 CJR852025:CJR852026 CTN852025:CTN852026 DDJ852025:DDJ852026 DNF852025:DNF852026 DXB852025:DXB852026 EGX852025:EGX852026 EQT852025:EQT852026 FAP852025:FAP852026 FKL852025:FKL852026 FUH852025:FUH852026 GED852025:GED852026 GNZ852025:GNZ852026 GXV852025:GXV852026 HHR852025:HHR852026 HRN852025:HRN852026 IBJ852025:IBJ852026 ILF852025:ILF852026 IVB852025:IVB852026 JEX852025:JEX852026 JOT852025:JOT852026 JYP852025:JYP852026 KIL852025:KIL852026 KSH852025:KSH852026 LCD852025:LCD852026 LLZ852025:LLZ852026 LVV852025:LVV852026 MFR852025:MFR852026 MPN852025:MPN852026 MZJ852025:MZJ852026 NJF852025:NJF852026 NTB852025:NTB852026 OCX852025:OCX852026 OMT852025:OMT852026 OWP852025:OWP852026 PGL852025:PGL852026 PQH852025:PQH852026 QAD852025:QAD852026 QJZ852025:QJZ852026 QTV852025:QTV852026 RDR852025:RDR852026 RNN852025:RNN852026 RXJ852025:RXJ852026 SHF852025:SHF852026 SRB852025:SRB852026 TAX852025:TAX852026 TKT852025:TKT852026 TUP852025:TUP852026 UEL852025:UEL852026 UOH852025:UOH852026 UYD852025:UYD852026 VHZ852025:VHZ852026 VRV852025:VRV852026 WBR852025:WBR852026 WLN852025:WLN852026 WVJ852025:WVJ852026 B917561:B917562 IX917561:IX917562 ST917561:ST917562 ACP917561:ACP917562 AML917561:AML917562 AWH917561:AWH917562 BGD917561:BGD917562 BPZ917561:BPZ917562 BZV917561:BZV917562 CJR917561:CJR917562 CTN917561:CTN917562 DDJ917561:DDJ917562 DNF917561:DNF917562 DXB917561:DXB917562 EGX917561:EGX917562 EQT917561:EQT917562 FAP917561:FAP917562 FKL917561:FKL917562 FUH917561:FUH917562 GED917561:GED917562 GNZ917561:GNZ917562 GXV917561:GXV917562 HHR917561:HHR917562 HRN917561:HRN917562 IBJ917561:IBJ917562 ILF917561:ILF917562 IVB917561:IVB917562 JEX917561:JEX917562 JOT917561:JOT917562 JYP917561:JYP917562 KIL917561:KIL917562 KSH917561:KSH917562 LCD917561:LCD917562 LLZ917561:LLZ917562 LVV917561:LVV917562 MFR917561:MFR917562 MPN917561:MPN917562 MZJ917561:MZJ917562 NJF917561:NJF917562 NTB917561:NTB917562 OCX917561:OCX917562 OMT917561:OMT917562 OWP917561:OWP917562 PGL917561:PGL917562 PQH917561:PQH917562 QAD917561:QAD917562 QJZ917561:QJZ917562 QTV917561:QTV917562 RDR917561:RDR917562 RNN917561:RNN917562 RXJ917561:RXJ917562 SHF917561:SHF917562 SRB917561:SRB917562 TAX917561:TAX917562 TKT917561:TKT917562 TUP917561:TUP917562 UEL917561:UEL917562 UOH917561:UOH917562 UYD917561:UYD917562 VHZ917561:VHZ917562 VRV917561:VRV917562 WBR917561:WBR917562 WLN917561:WLN917562 WVJ917561:WVJ917562 B983097:B983098 IX983097:IX983098 ST983097:ST983098 ACP983097:ACP983098 AML983097:AML983098 AWH983097:AWH983098 BGD983097:BGD983098 BPZ983097:BPZ983098 BZV983097:BZV983098 CJR983097:CJR983098 CTN983097:CTN983098 DDJ983097:DDJ983098 DNF983097:DNF983098 DXB983097:DXB983098 EGX983097:EGX983098 EQT983097:EQT983098 FAP983097:FAP983098 FKL983097:FKL983098 FUH983097:FUH983098 GED983097:GED983098 GNZ983097:GNZ983098 GXV983097:GXV983098 HHR983097:HHR983098 HRN983097:HRN983098 IBJ983097:IBJ983098 ILF983097:ILF983098 IVB983097:IVB983098 JEX983097:JEX983098 JOT983097:JOT983098 JYP983097:JYP983098 KIL983097:KIL983098 KSH983097:KSH983098 LCD983097:LCD983098 LLZ983097:LLZ983098 LVV983097:LVV983098 MFR983097:MFR983098 MPN983097:MPN983098 MZJ983097:MZJ983098 NJF983097:NJF983098 NTB983097:NTB983098 OCX983097:OCX983098 OMT983097:OMT983098 OWP983097:OWP983098 PGL983097:PGL983098 PQH983097:PQH983098 QAD983097:QAD983098 QJZ983097:QJZ983098 QTV983097:QTV983098 RDR983097:RDR983098 RNN983097:RNN983098 RXJ983097:RXJ983098 SHF983097:SHF983098 SRB983097:SRB983098 TAX983097:TAX983098 TKT983097:TKT983098 TUP983097:TUP983098 UEL983097:UEL983098 UOH983097:UOH983098 UYD983097:UYD983098 VHZ983097:VHZ983098 VRV983097:VRV983098 WBR983097:WBR983098 WLN983097:WLN983098 WVL983099:WVL983108 D65595:D65604 IZ65595:IZ65604 SV65595:SV65604 ACR65595:ACR65604 AMN65595:AMN65604 AWJ65595:AWJ65604 BGF65595:BGF65604 BQB65595:BQB65604 BZX65595:BZX65604 CJT65595:CJT65604 CTP65595:CTP65604 DDL65595:DDL65604 DNH65595:DNH65604 DXD65595:DXD65604 EGZ65595:EGZ65604 EQV65595:EQV65604 FAR65595:FAR65604 FKN65595:FKN65604 FUJ65595:FUJ65604 GEF65595:GEF65604 GOB65595:GOB65604 GXX65595:GXX65604 HHT65595:HHT65604 HRP65595:HRP65604 IBL65595:IBL65604 ILH65595:ILH65604 IVD65595:IVD65604 JEZ65595:JEZ65604 JOV65595:JOV65604 JYR65595:JYR65604 KIN65595:KIN65604 KSJ65595:KSJ65604 LCF65595:LCF65604 LMB65595:LMB65604 LVX65595:LVX65604 MFT65595:MFT65604 MPP65595:MPP65604 MZL65595:MZL65604 NJH65595:NJH65604 NTD65595:NTD65604 OCZ65595:OCZ65604 OMV65595:OMV65604 OWR65595:OWR65604 PGN65595:PGN65604 PQJ65595:PQJ65604 QAF65595:QAF65604 QKB65595:QKB65604 QTX65595:QTX65604 RDT65595:RDT65604 RNP65595:RNP65604 RXL65595:RXL65604 SHH65595:SHH65604 SRD65595:SRD65604 TAZ65595:TAZ65604 TKV65595:TKV65604 TUR65595:TUR65604 UEN65595:UEN65604 UOJ65595:UOJ65604 UYF65595:UYF65604 VIB65595:VIB65604 VRX65595:VRX65604 WBT65595:WBT65604 WLP65595:WLP65604 WVL65595:WVL65604 D131131:D131140 IZ131131:IZ131140 SV131131:SV131140 ACR131131:ACR131140 AMN131131:AMN131140 AWJ131131:AWJ131140 BGF131131:BGF131140 BQB131131:BQB131140 BZX131131:BZX131140 CJT131131:CJT131140 CTP131131:CTP131140 DDL131131:DDL131140 DNH131131:DNH131140 DXD131131:DXD131140 EGZ131131:EGZ131140 EQV131131:EQV131140 FAR131131:FAR131140 FKN131131:FKN131140 FUJ131131:FUJ131140 GEF131131:GEF131140 GOB131131:GOB131140 GXX131131:GXX131140 HHT131131:HHT131140 HRP131131:HRP131140 IBL131131:IBL131140 ILH131131:ILH131140 IVD131131:IVD131140 JEZ131131:JEZ131140 JOV131131:JOV131140 JYR131131:JYR131140 KIN131131:KIN131140 KSJ131131:KSJ131140 LCF131131:LCF131140 LMB131131:LMB131140 LVX131131:LVX131140 MFT131131:MFT131140 MPP131131:MPP131140 MZL131131:MZL131140 NJH131131:NJH131140 NTD131131:NTD131140 OCZ131131:OCZ131140 OMV131131:OMV131140 OWR131131:OWR131140 PGN131131:PGN131140 PQJ131131:PQJ131140 QAF131131:QAF131140 QKB131131:QKB131140 QTX131131:QTX131140 RDT131131:RDT131140 RNP131131:RNP131140 RXL131131:RXL131140 SHH131131:SHH131140 SRD131131:SRD131140 TAZ131131:TAZ131140 TKV131131:TKV131140 TUR131131:TUR131140 UEN131131:UEN131140 UOJ131131:UOJ131140 UYF131131:UYF131140 VIB131131:VIB131140 VRX131131:VRX131140 WBT131131:WBT131140 WLP131131:WLP131140 WVL131131:WVL131140 D196667:D196676 IZ196667:IZ196676 SV196667:SV196676 ACR196667:ACR196676 AMN196667:AMN196676 AWJ196667:AWJ196676 BGF196667:BGF196676 BQB196667:BQB196676 BZX196667:BZX196676 CJT196667:CJT196676 CTP196667:CTP196676 DDL196667:DDL196676 DNH196667:DNH196676 DXD196667:DXD196676 EGZ196667:EGZ196676 EQV196667:EQV196676 FAR196667:FAR196676 FKN196667:FKN196676 FUJ196667:FUJ196676 GEF196667:GEF196676 GOB196667:GOB196676 GXX196667:GXX196676 HHT196667:HHT196676 HRP196667:HRP196676 IBL196667:IBL196676 ILH196667:ILH196676 IVD196667:IVD196676 JEZ196667:JEZ196676 JOV196667:JOV196676 JYR196667:JYR196676 KIN196667:KIN196676 KSJ196667:KSJ196676 LCF196667:LCF196676 LMB196667:LMB196676 LVX196667:LVX196676 MFT196667:MFT196676 MPP196667:MPP196676 MZL196667:MZL196676 NJH196667:NJH196676 NTD196667:NTD196676 OCZ196667:OCZ196676 OMV196667:OMV196676 OWR196667:OWR196676 PGN196667:PGN196676 PQJ196667:PQJ196676 QAF196667:QAF196676 QKB196667:QKB196676 QTX196667:QTX196676 RDT196667:RDT196676 RNP196667:RNP196676 RXL196667:RXL196676 SHH196667:SHH196676 SRD196667:SRD196676 TAZ196667:TAZ196676 TKV196667:TKV196676 TUR196667:TUR196676 UEN196667:UEN196676 UOJ196667:UOJ196676 UYF196667:UYF196676 VIB196667:VIB196676 VRX196667:VRX196676 WBT196667:WBT196676 WLP196667:WLP196676 WVL196667:WVL196676 D262203:D262212 IZ262203:IZ262212 SV262203:SV262212 ACR262203:ACR262212 AMN262203:AMN262212 AWJ262203:AWJ262212 BGF262203:BGF262212 BQB262203:BQB262212 BZX262203:BZX262212 CJT262203:CJT262212 CTP262203:CTP262212 DDL262203:DDL262212 DNH262203:DNH262212 DXD262203:DXD262212 EGZ262203:EGZ262212 EQV262203:EQV262212 FAR262203:FAR262212 FKN262203:FKN262212 FUJ262203:FUJ262212 GEF262203:GEF262212 GOB262203:GOB262212 GXX262203:GXX262212 HHT262203:HHT262212 HRP262203:HRP262212 IBL262203:IBL262212 ILH262203:ILH262212 IVD262203:IVD262212 JEZ262203:JEZ262212 JOV262203:JOV262212 JYR262203:JYR262212 KIN262203:KIN262212 KSJ262203:KSJ262212 LCF262203:LCF262212 LMB262203:LMB262212 LVX262203:LVX262212 MFT262203:MFT262212 MPP262203:MPP262212 MZL262203:MZL262212 NJH262203:NJH262212 NTD262203:NTD262212 OCZ262203:OCZ262212 OMV262203:OMV262212 OWR262203:OWR262212 PGN262203:PGN262212 PQJ262203:PQJ262212 QAF262203:QAF262212 QKB262203:QKB262212 QTX262203:QTX262212 RDT262203:RDT262212 RNP262203:RNP262212 RXL262203:RXL262212 SHH262203:SHH262212 SRD262203:SRD262212 TAZ262203:TAZ262212 TKV262203:TKV262212 TUR262203:TUR262212 UEN262203:UEN262212 UOJ262203:UOJ262212 UYF262203:UYF262212 VIB262203:VIB262212 VRX262203:VRX262212 WBT262203:WBT262212 WLP262203:WLP262212 WVL262203:WVL262212 D327739:D327748 IZ327739:IZ327748 SV327739:SV327748 ACR327739:ACR327748 AMN327739:AMN327748 AWJ327739:AWJ327748 BGF327739:BGF327748 BQB327739:BQB327748 BZX327739:BZX327748 CJT327739:CJT327748 CTP327739:CTP327748 DDL327739:DDL327748 DNH327739:DNH327748 DXD327739:DXD327748 EGZ327739:EGZ327748 EQV327739:EQV327748 FAR327739:FAR327748 FKN327739:FKN327748 FUJ327739:FUJ327748 GEF327739:GEF327748 GOB327739:GOB327748 GXX327739:GXX327748 HHT327739:HHT327748 HRP327739:HRP327748 IBL327739:IBL327748 ILH327739:ILH327748 IVD327739:IVD327748 JEZ327739:JEZ327748 JOV327739:JOV327748 JYR327739:JYR327748 KIN327739:KIN327748 KSJ327739:KSJ327748 LCF327739:LCF327748 LMB327739:LMB327748 LVX327739:LVX327748 MFT327739:MFT327748 MPP327739:MPP327748 MZL327739:MZL327748 NJH327739:NJH327748 NTD327739:NTD327748 OCZ327739:OCZ327748 OMV327739:OMV327748 OWR327739:OWR327748 PGN327739:PGN327748 PQJ327739:PQJ327748 QAF327739:QAF327748 QKB327739:QKB327748 QTX327739:QTX327748 RDT327739:RDT327748 RNP327739:RNP327748 RXL327739:RXL327748 SHH327739:SHH327748 SRD327739:SRD327748 TAZ327739:TAZ327748 TKV327739:TKV327748 TUR327739:TUR327748 UEN327739:UEN327748 UOJ327739:UOJ327748 UYF327739:UYF327748 VIB327739:VIB327748 VRX327739:VRX327748 WBT327739:WBT327748 WLP327739:WLP327748 WVL327739:WVL327748 D393275:D393284 IZ393275:IZ393284 SV393275:SV393284 ACR393275:ACR393284 AMN393275:AMN393284 AWJ393275:AWJ393284 BGF393275:BGF393284 BQB393275:BQB393284 BZX393275:BZX393284 CJT393275:CJT393284 CTP393275:CTP393284 DDL393275:DDL393284 DNH393275:DNH393284 DXD393275:DXD393284 EGZ393275:EGZ393284 EQV393275:EQV393284 FAR393275:FAR393284 FKN393275:FKN393284 FUJ393275:FUJ393284 GEF393275:GEF393284 GOB393275:GOB393284 GXX393275:GXX393284 HHT393275:HHT393284 HRP393275:HRP393284 IBL393275:IBL393284 ILH393275:ILH393284 IVD393275:IVD393284 JEZ393275:JEZ393284 JOV393275:JOV393284 JYR393275:JYR393284 KIN393275:KIN393284 KSJ393275:KSJ393284 LCF393275:LCF393284 LMB393275:LMB393284 LVX393275:LVX393284 MFT393275:MFT393284 MPP393275:MPP393284 MZL393275:MZL393284 NJH393275:NJH393284 NTD393275:NTD393284 OCZ393275:OCZ393284 OMV393275:OMV393284 OWR393275:OWR393284 PGN393275:PGN393284 PQJ393275:PQJ393284 QAF393275:QAF393284 QKB393275:QKB393284 QTX393275:QTX393284 RDT393275:RDT393284 RNP393275:RNP393284 RXL393275:RXL393284 SHH393275:SHH393284 SRD393275:SRD393284 TAZ393275:TAZ393284 TKV393275:TKV393284 TUR393275:TUR393284 UEN393275:UEN393284 UOJ393275:UOJ393284 UYF393275:UYF393284 VIB393275:VIB393284 VRX393275:VRX393284 WBT393275:WBT393284 WLP393275:WLP393284 WVL393275:WVL393284 D458811:D458820 IZ458811:IZ458820 SV458811:SV458820 ACR458811:ACR458820 AMN458811:AMN458820 AWJ458811:AWJ458820 BGF458811:BGF458820 BQB458811:BQB458820 BZX458811:BZX458820 CJT458811:CJT458820 CTP458811:CTP458820 DDL458811:DDL458820 DNH458811:DNH458820 DXD458811:DXD458820 EGZ458811:EGZ458820 EQV458811:EQV458820 FAR458811:FAR458820 FKN458811:FKN458820 FUJ458811:FUJ458820 GEF458811:GEF458820 GOB458811:GOB458820 GXX458811:GXX458820 HHT458811:HHT458820 HRP458811:HRP458820 IBL458811:IBL458820 ILH458811:ILH458820 IVD458811:IVD458820 JEZ458811:JEZ458820 JOV458811:JOV458820 JYR458811:JYR458820 KIN458811:KIN458820 KSJ458811:KSJ458820 LCF458811:LCF458820 LMB458811:LMB458820 LVX458811:LVX458820 MFT458811:MFT458820 MPP458811:MPP458820 MZL458811:MZL458820 NJH458811:NJH458820 NTD458811:NTD458820 OCZ458811:OCZ458820 OMV458811:OMV458820 OWR458811:OWR458820 PGN458811:PGN458820 PQJ458811:PQJ458820 QAF458811:QAF458820 QKB458811:QKB458820 QTX458811:QTX458820 RDT458811:RDT458820 RNP458811:RNP458820 RXL458811:RXL458820 SHH458811:SHH458820 SRD458811:SRD458820 TAZ458811:TAZ458820 TKV458811:TKV458820 TUR458811:TUR458820 UEN458811:UEN458820 UOJ458811:UOJ458820 UYF458811:UYF458820 VIB458811:VIB458820 VRX458811:VRX458820 WBT458811:WBT458820 WLP458811:WLP458820 WVL458811:WVL458820 D524347:D524356 IZ524347:IZ524356 SV524347:SV524356 ACR524347:ACR524356 AMN524347:AMN524356 AWJ524347:AWJ524356 BGF524347:BGF524356 BQB524347:BQB524356 BZX524347:BZX524356 CJT524347:CJT524356 CTP524347:CTP524356 DDL524347:DDL524356 DNH524347:DNH524356 DXD524347:DXD524356 EGZ524347:EGZ524356 EQV524347:EQV524356 FAR524347:FAR524356 FKN524347:FKN524356 FUJ524347:FUJ524356 GEF524347:GEF524356 GOB524347:GOB524356 GXX524347:GXX524356 HHT524347:HHT524356 HRP524347:HRP524356 IBL524347:IBL524356 ILH524347:ILH524356 IVD524347:IVD524356 JEZ524347:JEZ524356 JOV524347:JOV524356 JYR524347:JYR524356 KIN524347:KIN524356 KSJ524347:KSJ524356 LCF524347:LCF524356 LMB524347:LMB524356 LVX524347:LVX524356 MFT524347:MFT524356 MPP524347:MPP524356 MZL524347:MZL524356 NJH524347:NJH524356 NTD524347:NTD524356 OCZ524347:OCZ524356 OMV524347:OMV524356 OWR524347:OWR524356 PGN524347:PGN524356 PQJ524347:PQJ524356 QAF524347:QAF524356 QKB524347:QKB524356 QTX524347:QTX524356 RDT524347:RDT524356 RNP524347:RNP524356 RXL524347:RXL524356 SHH524347:SHH524356 SRD524347:SRD524356 TAZ524347:TAZ524356 TKV524347:TKV524356 TUR524347:TUR524356 UEN524347:UEN524356 UOJ524347:UOJ524356 UYF524347:UYF524356 VIB524347:VIB524356 VRX524347:VRX524356 WBT524347:WBT524356 WLP524347:WLP524356 WVL524347:WVL524356 D589883:D589892 IZ589883:IZ589892 SV589883:SV589892 ACR589883:ACR589892 AMN589883:AMN589892 AWJ589883:AWJ589892 BGF589883:BGF589892 BQB589883:BQB589892 BZX589883:BZX589892 CJT589883:CJT589892 CTP589883:CTP589892 DDL589883:DDL589892 DNH589883:DNH589892 DXD589883:DXD589892 EGZ589883:EGZ589892 EQV589883:EQV589892 FAR589883:FAR589892 FKN589883:FKN589892 FUJ589883:FUJ589892 GEF589883:GEF589892 GOB589883:GOB589892 GXX589883:GXX589892 HHT589883:HHT589892 HRP589883:HRP589892 IBL589883:IBL589892 ILH589883:ILH589892 IVD589883:IVD589892 JEZ589883:JEZ589892 JOV589883:JOV589892 JYR589883:JYR589892 KIN589883:KIN589892 KSJ589883:KSJ589892 LCF589883:LCF589892 LMB589883:LMB589892 LVX589883:LVX589892 MFT589883:MFT589892 MPP589883:MPP589892 MZL589883:MZL589892 NJH589883:NJH589892 NTD589883:NTD589892 OCZ589883:OCZ589892 OMV589883:OMV589892 OWR589883:OWR589892 PGN589883:PGN589892 PQJ589883:PQJ589892 QAF589883:QAF589892 QKB589883:QKB589892 QTX589883:QTX589892 RDT589883:RDT589892 RNP589883:RNP589892 RXL589883:RXL589892 SHH589883:SHH589892 SRD589883:SRD589892 TAZ589883:TAZ589892 TKV589883:TKV589892 TUR589883:TUR589892 UEN589883:UEN589892 UOJ589883:UOJ589892 UYF589883:UYF589892 VIB589883:VIB589892 VRX589883:VRX589892 WBT589883:WBT589892 WLP589883:WLP589892 WVL589883:WVL589892 D655419:D655428 IZ655419:IZ655428 SV655419:SV655428 ACR655419:ACR655428 AMN655419:AMN655428 AWJ655419:AWJ655428 BGF655419:BGF655428 BQB655419:BQB655428 BZX655419:BZX655428 CJT655419:CJT655428 CTP655419:CTP655428 DDL655419:DDL655428 DNH655419:DNH655428 DXD655419:DXD655428 EGZ655419:EGZ655428 EQV655419:EQV655428 FAR655419:FAR655428 FKN655419:FKN655428 FUJ655419:FUJ655428 GEF655419:GEF655428 GOB655419:GOB655428 GXX655419:GXX655428 HHT655419:HHT655428 HRP655419:HRP655428 IBL655419:IBL655428 ILH655419:ILH655428 IVD655419:IVD655428 JEZ655419:JEZ655428 JOV655419:JOV655428 JYR655419:JYR655428 KIN655419:KIN655428 KSJ655419:KSJ655428 LCF655419:LCF655428 LMB655419:LMB655428 LVX655419:LVX655428 MFT655419:MFT655428 MPP655419:MPP655428 MZL655419:MZL655428 NJH655419:NJH655428 NTD655419:NTD655428 OCZ655419:OCZ655428 OMV655419:OMV655428 OWR655419:OWR655428 PGN655419:PGN655428 PQJ655419:PQJ655428 QAF655419:QAF655428 QKB655419:QKB655428 QTX655419:QTX655428 RDT655419:RDT655428 RNP655419:RNP655428 RXL655419:RXL655428 SHH655419:SHH655428 SRD655419:SRD655428 TAZ655419:TAZ655428 TKV655419:TKV655428 TUR655419:TUR655428 UEN655419:UEN655428 UOJ655419:UOJ655428 UYF655419:UYF655428 VIB655419:VIB655428 VRX655419:VRX655428 WBT655419:WBT655428 WLP655419:WLP655428 WVL655419:WVL655428 D720955:D720964 IZ720955:IZ720964 SV720955:SV720964 ACR720955:ACR720964 AMN720955:AMN720964 AWJ720955:AWJ720964 BGF720955:BGF720964 BQB720955:BQB720964 BZX720955:BZX720964 CJT720955:CJT720964 CTP720955:CTP720964 DDL720955:DDL720964 DNH720955:DNH720964 DXD720955:DXD720964 EGZ720955:EGZ720964 EQV720955:EQV720964 FAR720955:FAR720964 FKN720955:FKN720964 FUJ720955:FUJ720964 GEF720955:GEF720964 GOB720955:GOB720964 GXX720955:GXX720964 HHT720955:HHT720964 HRP720955:HRP720964 IBL720955:IBL720964 ILH720955:ILH720964 IVD720955:IVD720964 JEZ720955:JEZ720964 JOV720955:JOV720964 JYR720955:JYR720964 KIN720955:KIN720964 KSJ720955:KSJ720964 LCF720955:LCF720964 LMB720955:LMB720964 LVX720955:LVX720964 MFT720955:MFT720964 MPP720955:MPP720964 MZL720955:MZL720964 NJH720955:NJH720964 NTD720955:NTD720964 OCZ720955:OCZ720964 OMV720955:OMV720964 OWR720955:OWR720964 PGN720955:PGN720964 PQJ720955:PQJ720964 QAF720955:QAF720964 QKB720955:QKB720964 QTX720955:QTX720964 RDT720955:RDT720964 RNP720955:RNP720964 RXL720955:RXL720964 SHH720955:SHH720964 SRD720955:SRD720964 TAZ720955:TAZ720964 TKV720955:TKV720964 TUR720955:TUR720964 UEN720955:UEN720964 UOJ720955:UOJ720964 UYF720955:UYF720964 VIB720955:VIB720964 VRX720955:VRX720964 WBT720955:WBT720964 WLP720955:WLP720964 WVL720955:WVL720964 D786491:D786500 IZ786491:IZ786500 SV786491:SV786500 ACR786491:ACR786500 AMN786491:AMN786500 AWJ786491:AWJ786500 BGF786491:BGF786500 BQB786491:BQB786500 BZX786491:BZX786500 CJT786491:CJT786500 CTP786491:CTP786500 DDL786491:DDL786500 DNH786491:DNH786500 DXD786491:DXD786500 EGZ786491:EGZ786500 EQV786491:EQV786500 FAR786491:FAR786500 FKN786491:FKN786500 FUJ786491:FUJ786500 GEF786491:GEF786500 GOB786491:GOB786500 GXX786491:GXX786500 HHT786491:HHT786500 HRP786491:HRP786500 IBL786491:IBL786500 ILH786491:ILH786500 IVD786491:IVD786500 JEZ786491:JEZ786500 JOV786491:JOV786500 JYR786491:JYR786500 KIN786491:KIN786500 KSJ786491:KSJ786500 LCF786491:LCF786500 LMB786491:LMB786500 LVX786491:LVX786500 MFT786491:MFT786500 MPP786491:MPP786500 MZL786491:MZL786500 NJH786491:NJH786500 NTD786491:NTD786500 OCZ786491:OCZ786500 OMV786491:OMV786500 OWR786491:OWR786500 PGN786491:PGN786500 PQJ786491:PQJ786500 QAF786491:QAF786500 QKB786491:QKB786500 QTX786491:QTX786500 RDT786491:RDT786500 RNP786491:RNP786500 RXL786491:RXL786500 SHH786491:SHH786500 SRD786491:SRD786500 TAZ786491:TAZ786500 TKV786491:TKV786500 TUR786491:TUR786500 UEN786491:UEN786500 UOJ786491:UOJ786500 UYF786491:UYF786500 VIB786491:VIB786500 VRX786491:VRX786500 WBT786491:WBT786500 WLP786491:WLP786500 WVL786491:WVL786500 D852027:D852036 IZ852027:IZ852036 SV852027:SV852036 ACR852027:ACR852036 AMN852027:AMN852036 AWJ852027:AWJ852036 BGF852027:BGF852036 BQB852027:BQB852036 BZX852027:BZX852036 CJT852027:CJT852036 CTP852027:CTP852036 DDL852027:DDL852036 DNH852027:DNH852036 DXD852027:DXD852036 EGZ852027:EGZ852036 EQV852027:EQV852036 FAR852027:FAR852036 FKN852027:FKN852036 FUJ852027:FUJ852036 GEF852027:GEF852036 GOB852027:GOB852036 GXX852027:GXX852036 HHT852027:HHT852036 HRP852027:HRP852036 IBL852027:IBL852036 ILH852027:ILH852036 IVD852027:IVD852036 JEZ852027:JEZ852036 JOV852027:JOV852036 JYR852027:JYR852036 KIN852027:KIN852036 KSJ852027:KSJ852036 LCF852027:LCF852036 LMB852027:LMB852036 LVX852027:LVX852036 MFT852027:MFT852036 MPP852027:MPP852036 MZL852027:MZL852036 NJH852027:NJH852036 NTD852027:NTD852036 OCZ852027:OCZ852036 OMV852027:OMV852036 OWR852027:OWR852036 PGN852027:PGN852036 PQJ852027:PQJ852036 QAF852027:QAF852036 QKB852027:QKB852036 QTX852027:QTX852036 RDT852027:RDT852036 RNP852027:RNP852036 RXL852027:RXL852036 SHH852027:SHH852036 SRD852027:SRD852036 TAZ852027:TAZ852036 TKV852027:TKV852036 TUR852027:TUR852036 UEN852027:UEN852036 UOJ852027:UOJ852036 UYF852027:UYF852036 VIB852027:VIB852036 VRX852027:VRX852036 WBT852027:WBT852036 WLP852027:WLP852036 WVL852027:WVL852036 D917563:D917572 IZ917563:IZ917572 SV917563:SV917572 ACR917563:ACR917572 AMN917563:AMN917572 AWJ917563:AWJ917572 BGF917563:BGF917572 BQB917563:BQB917572 BZX917563:BZX917572 CJT917563:CJT917572 CTP917563:CTP917572 DDL917563:DDL917572 DNH917563:DNH917572 DXD917563:DXD917572 EGZ917563:EGZ917572 EQV917563:EQV917572 FAR917563:FAR917572 FKN917563:FKN917572 FUJ917563:FUJ917572 GEF917563:GEF917572 GOB917563:GOB917572 GXX917563:GXX917572 HHT917563:HHT917572 HRP917563:HRP917572 IBL917563:IBL917572 ILH917563:ILH917572 IVD917563:IVD917572 JEZ917563:JEZ917572 JOV917563:JOV917572 JYR917563:JYR917572 KIN917563:KIN917572 KSJ917563:KSJ917572 LCF917563:LCF917572 LMB917563:LMB917572 LVX917563:LVX917572 MFT917563:MFT917572 MPP917563:MPP917572 MZL917563:MZL917572 NJH917563:NJH917572 NTD917563:NTD917572 OCZ917563:OCZ917572 OMV917563:OMV917572 OWR917563:OWR917572 PGN917563:PGN917572 PQJ917563:PQJ917572 QAF917563:QAF917572 QKB917563:QKB917572 QTX917563:QTX917572 RDT917563:RDT917572 RNP917563:RNP917572 RXL917563:RXL917572 SHH917563:SHH917572 SRD917563:SRD917572 TAZ917563:TAZ917572 TKV917563:TKV917572 TUR917563:TUR917572 UEN917563:UEN917572 UOJ917563:UOJ917572 UYF917563:UYF917572 VIB917563:VIB917572 VRX917563:VRX917572 WBT917563:WBT917572 WLP917563:WLP917572 WVL917563:WVL917572 D983099:D983108 IZ983099:IZ983108 SV983099:SV983108 ACR983099:ACR983108 AMN983099:AMN983108 AWJ983099:AWJ983108 BGF983099:BGF983108 BQB983099:BQB983108 BZX983099:BZX983108 CJT983099:CJT983108 CTP983099:CTP983108 DDL983099:DDL983108 DNH983099:DNH983108 DXD983099:DXD983108 EGZ983099:EGZ983108 EQV983099:EQV983108 FAR983099:FAR983108 FKN983099:FKN983108 FUJ983099:FUJ983108 GEF983099:GEF983108 GOB983099:GOB983108 GXX983099:GXX983108 HHT983099:HHT983108 HRP983099:HRP983108 IBL983099:IBL983108 ILH983099:ILH983108 IVD983099:IVD983108 JEZ983099:JEZ983108 JOV983099:JOV983108 JYR983099:JYR983108 KIN983099:KIN983108 KSJ983099:KSJ983108 LCF983099:LCF983108 LMB983099:LMB983108 LVX983099:LVX983108 MFT983099:MFT983108 MPP983099:MPP983108 MZL983099:MZL983108 NJH983099:NJH983108 NTD983099:NTD983108 OCZ983099:OCZ983108 OMV983099:OMV983108 OWR983099:OWR983108 PGN983099:PGN983108 PQJ983099:PQJ983108 QAF983099:QAF983108 QKB983099:QKB983108 QTX983099:QTX983108 RDT983099:RDT983108 RNP983099:RNP983108 RXL983099:RXL983108 SHH983099:SHH983108 SRD983099:SRD983108 TAZ983099:TAZ983108 TKV983099:TKV983108 TUR983099:TUR983108 UEN983099:UEN983108 UOJ983099:UOJ983108 UYF983099:UYF983108 VIB983099:VIB983108 VRX983099:VRX983108 WBT983099:WBT983108 WLP983099:WLP983108</xm:sqref>
        </x14:dataValidation>
        <x14:dataValidation type="list" allowBlank="1" showInputMessage="1" showErrorMessage="1">
          <x14:formula1>
            <xm:f>"x"</xm:f>
          </x14:formula1>
          <xm:sqref>B71:B77 IX71:IX77 ST71:ST77 ACP71:ACP77 AML71:AML77 AWH71:AWH77 BGD71:BGD77 BPZ71:BPZ77 BZV71:BZV77 CJR71:CJR77 CTN71:CTN77 DDJ71:DDJ77 DNF71:DNF77 DXB71:DXB77 EGX71:EGX77 EQT71:EQT77 FAP71:FAP77 FKL71:FKL77 FUH71:FUH77 GED71:GED77 GNZ71:GNZ77 GXV71:GXV77 HHR71:HHR77 HRN71:HRN77 IBJ71:IBJ77 ILF71:ILF77 IVB71:IVB77 JEX71:JEX77 JOT71:JOT77 JYP71:JYP77 KIL71:KIL77 KSH71:KSH77 LCD71:LCD77 LLZ71:LLZ77 LVV71:LVV77 MFR71:MFR77 MPN71:MPN77 MZJ71:MZJ77 NJF71:NJF77 NTB71:NTB77 OCX71:OCX77 OMT71:OMT77 OWP71:OWP77 PGL71:PGL77 PQH71:PQH77 QAD71:QAD77 QJZ71:QJZ77 QTV71:QTV77 RDR71:RDR77 RNN71:RNN77 RXJ71:RXJ77 SHF71:SHF77 SRB71:SRB77 TAX71:TAX77 TKT71:TKT77 TUP71:TUP77 UEL71:UEL77 UOH71:UOH77 UYD71:UYD77 VHZ71:VHZ77 VRV71:VRV77 WBR71:WBR77 WLN71:WLN77 WVJ71:WVJ77 B65575:B65582 IX65575:IX65582 ST65575:ST65582 ACP65575:ACP65582 AML65575:AML65582 AWH65575:AWH65582 BGD65575:BGD65582 BPZ65575:BPZ65582 BZV65575:BZV65582 CJR65575:CJR65582 CTN65575:CTN65582 DDJ65575:DDJ65582 DNF65575:DNF65582 DXB65575:DXB65582 EGX65575:EGX65582 EQT65575:EQT65582 FAP65575:FAP65582 FKL65575:FKL65582 FUH65575:FUH65582 GED65575:GED65582 GNZ65575:GNZ65582 GXV65575:GXV65582 HHR65575:HHR65582 HRN65575:HRN65582 IBJ65575:IBJ65582 ILF65575:ILF65582 IVB65575:IVB65582 JEX65575:JEX65582 JOT65575:JOT65582 JYP65575:JYP65582 KIL65575:KIL65582 KSH65575:KSH65582 LCD65575:LCD65582 LLZ65575:LLZ65582 LVV65575:LVV65582 MFR65575:MFR65582 MPN65575:MPN65582 MZJ65575:MZJ65582 NJF65575:NJF65582 NTB65575:NTB65582 OCX65575:OCX65582 OMT65575:OMT65582 OWP65575:OWP65582 PGL65575:PGL65582 PQH65575:PQH65582 QAD65575:QAD65582 QJZ65575:QJZ65582 QTV65575:QTV65582 RDR65575:RDR65582 RNN65575:RNN65582 RXJ65575:RXJ65582 SHF65575:SHF65582 SRB65575:SRB65582 TAX65575:TAX65582 TKT65575:TKT65582 TUP65575:TUP65582 UEL65575:UEL65582 UOH65575:UOH65582 UYD65575:UYD65582 VHZ65575:VHZ65582 VRV65575:VRV65582 WBR65575:WBR65582 WLN65575:WLN65582 WVJ65575:WVJ65582 B131111:B131118 IX131111:IX131118 ST131111:ST131118 ACP131111:ACP131118 AML131111:AML131118 AWH131111:AWH131118 BGD131111:BGD131118 BPZ131111:BPZ131118 BZV131111:BZV131118 CJR131111:CJR131118 CTN131111:CTN131118 DDJ131111:DDJ131118 DNF131111:DNF131118 DXB131111:DXB131118 EGX131111:EGX131118 EQT131111:EQT131118 FAP131111:FAP131118 FKL131111:FKL131118 FUH131111:FUH131118 GED131111:GED131118 GNZ131111:GNZ131118 GXV131111:GXV131118 HHR131111:HHR131118 HRN131111:HRN131118 IBJ131111:IBJ131118 ILF131111:ILF131118 IVB131111:IVB131118 JEX131111:JEX131118 JOT131111:JOT131118 JYP131111:JYP131118 KIL131111:KIL131118 KSH131111:KSH131118 LCD131111:LCD131118 LLZ131111:LLZ131118 LVV131111:LVV131118 MFR131111:MFR131118 MPN131111:MPN131118 MZJ131111:MZJ131118 NJF131111:NJF131118 NTB131111:NTB131118 OCX131111:OCX131118 OMT131111:OMT131118 OWP131111:OWP131118 PGL131111:PGL131118 PQH131111:PQH131118 QAD131111:QAD131118 QJZ131111:QJZ131118 QTV131111:QTV131118 RDR131111:RDR131118 RNN131111:RNN131118 RXJ131111:RXJ131118 SHF131111:SHF131118 SRB131111:SRB131118 TAX131111:TAX131118 TKT131111:TKT131118 TUP131111:TUP131118 UEL131111:UEL131118 UOH131111:UOH131118 UYD131111:UYD131118 VHZ131111:VHZ131118 VRV131111:VRV131118 WBR131111:WBR131118 WLN131111:WLN131118 WVJ131111:WVJ131118 B196647:B196654 IX196647:IX196654 ST196647:ST196654 ACP196647:ACP196654 AML196647:AML196654 AWH196647:AWH196654 BGD196647:BGD196654 BPZ196647:BPZ196654 BZV196647:BZV196654 CJR196647:CJR196654 CTN196647:CTN196654 DDJ196647:DDJ196654 DNF196647:DNF196654 DXB196647:DXB196654 EGX196647:EGX196654 EQT196647:EQT196654 FAP196647:FAP196654 FKL196647:FKL196654 FUH196647:FUH196654 GED196647:GED196654 GNZ196647:GNZ196654 GXV196647:GXV196654 HHR196647:HHR196654 HRN196647:HRN196654 IBJ196647:IBJ196654 ILF196647:ILF196654 IVB196647:IVB196654 JEX196647:JEX196654 JOT196647:JOT196654 JYP196647:JYP196654 KIL196647:KIL196654 KSH196647:KSH196654 LCD196647:LCD196654 LLZ196647:LLZ196654 LVV196647:LVV196654 MFR196647:MFR196654 MPN196647:MPN196654 MZJ196647:MZJ196654 NJF196647:NJF196654 NTB196647:NTB196654 OCX196647:OCX196654 OMT196647:OMT196654 OWP196647:OWP196654 PGL196647:PGL196654 PQH196647:PQH196654 QAD196647:QAD196654 QJZ196647:QJZ196654 QTV196647:QTV196654 RDR196647:RDR196654 RNN196647:RNN196654 RXJ196647:RXJ196654 SHF196647:SHF196654 SRB196647:SRB196654 TAX196647:TAX196654 TKT196647:TKT196654 TUP196647:TUP196654 UEL196647:UEL196654 UOH196647:UOH196654 UYD196647:UYD196654 VHZ196647:VHZ196654 VRV196647:VRV196654 WBR196647:WBR196654 WLN196647:WLN196654 WVJ196647:WVJ196654 B262183:B262190 IX262183:IX262190 ST262183:ST262190 ACP262183:ACP262190 AML262183:AML262190 AWH262183:AWH262190 BGD262183:BGD262190 BPZ262183:BPZ262190 BZV262183:BZV262190 CJR262183:CJR262190 CTN262183:CTN262190 DDJ262183:DDJ262190 DNF262183:DNF262190 DXB262183:DXB262190 EGX262183:EGX262190 EQT262183:EQT262190 FAP262183:FAP262190 FKL262183:FKL262190 FUH262183:FUH262190 GED262183:GED262190 GNZ262183:GNZ262190 GXV262183:GXV262190 HHR262183:HHR262190 HRN262183:HRN262190 IBJ262183:IBJ262190 ILF262183:ILF262190 IVB262183:IVB262190 JEX262183:JEX262190 JOT262183:JOT262190 JYP262183:JYP262190 KIL262183:KIL262190 KSH262183:KSH262190 LCD262183:LCD262190 LLZ262183:LLZ262190 LVV262183:LVV262190 MFR262183:MFR262190 MPN262183:MPN262190 MZJ262183:MZJ262190 NJF262183:NJF262190 NTB262183:NTB262190 OCX262183:OCX262190 OMT262183:OMT262190 OWP262183:OWP262190 PGL262183:PGL262190 PQH262183:PQH262190 QAD262183:QAD262190 QJZ262183:QJZ262190 QTV262183:QTV262190 RDR262183:RDR262190 RNN262183:RNN262190 RXJ262183:RXJ262190 SHF262183:SHF262190 SRB262183:SRB262190 TAX262183:TAX262190 TKT262183:TKT262190 TUP262183:TUP262190 UEL262183:UEL262190 UOH262183:UOH262190 UYD262183:UYD262190 VHZ262183:VHZ262190 VRV262183:VRV262190 WBR262183:WBR262190 WLN262183:WLN262190 WVJ262183:WVJ262190 B327719:B327726 IX327719:IX327726 ST327719:ST327726 ACP327719:ACP327726 AML327719:AML327726 AWH327719:AWH327726 BGD327719:BGD327726 BPZ327719:BPZ327726 BZV327719:BZV327726 CJR327719:CJR327726 CTN327719:CTN327726 DDJ327719:DDJ327726 DNF327719:DNF327726 DXB327719:DXB327726 EGX327719:EGX327726 EQT327719:EQT327726 FAP327719:FAP327726 FKL327719:FKL327726 FUH327719:FUH327726 GED327719:GED327726 GNZ327719:GNZ327726 GXV327719:GXV327726 HHR327719:HHR327726 HRN327719:HRN327726 IBJ327719:IBJ327726 ILF327719:ILF327726 IVB327719:IVB327726 JEX327719:JEX327726 JOT327719:JOT327726 JYP327719:JYP327726 KIL327719:KIL327726 KSH327719:KSH327726 LCD327719:LCD327726 LLZ327719:LLZ327726 LVV327719:LVV327726 MFR327719:MFR327726 MPN327719:MPN327726 MZJ327719:MZJ327726 NJF327719:NJF327726 NTB327719:NTB327726 OCX327719:OCX327726 OMT327719:OMT327726 OWP327719:OWP327726 PGL327719:PGL327726 PQH327719:PQH327726 QAD327719:QAD327726 QJZ327719:QJZ327726 QTV327719:QTV327726 RDR327719:RDR327726 RNN327719:RNN327726 RXJ327719:RXJ327726 SHF327719:SHF327726 SRB327719:SRB327726 TAX327719:TAX327726 TKT327719:TKT327726 TUP327719:TUP327726 UEL327719:UEL327726 UOH327719:UOH327726 UYD327719:UYD327726 VHZ327719:VHZ327726 VRV327719:VRV327726 WBR327719:WBR327726 WLN327719:WLN327726 WVJ327719:WVJ327726 B393255:B393262 IX393255:IX393262 ST393255:ST393262 ACP393255:ACP393262 AML393255:AML393262 AWH393255:AWH393262 BGD393255:BGD393262 BPZ393255:BPZ393262 BZV393255:BZV393262 CJR393255:CJR393262 CTN393255:CTN393262 DDJ393255:DDJ393262 DNF393255:DNF393262 DXB393255:DXB393262 EGX393255:EGX393262 EQT393255:EQT393262 FAP393255:FAP393262 FKL393255:FKL393262 FUH393255:FUH393262 GED393255:GED393262 GNZ393255:GNZ393262 GXV393255:GXV393262 HHR393255:HHR393262 HRN393255:HRN393262 IBJ393255:IBJ393262 ILF393255:ILF393262 IVB393255:IVB393262 JEX393255:JEX393262 JOT393255:JOT393262 JYP393255:JYP393262 KIL393255:KIL393262 KSH393255:KSH393262 LCD393255:LCD393262 LLZ393255:LLZ393262 LVV393255:LVV393262 MFR393255:MFR393262 MPN393255:MPN393262 MZJ393255:MZJ393262 NJF393255:NJF393262 NTB393255:NTB393262 OCX393255:OCX393262 OMT393255:OMT393262 OWP393255:OWP393262 PGL393255:PGL393262 PQH393255:PQH393262 QAD393255:QAD393262 QJZ393255:QJZ393262 QTV393255:QTV393262 RDR393255:RDR393262 RNN393255:RNN393262 RXJ393255:RXJ393262 SHF393255:SHF393262 SRB393255:SRB393262 TAX393255:TAX393262 TKT393255:TKT393262 TUP393255:TUP393262 UEL393255:UEL393262 UOH393255:UOH393262 UYD393255:UYD393262 VHZ393255:VHZ393262 VRV393255:VRV393262 WBR393255:WBR393262 WLN393255:WLN393262 WVJ393255:WVJ393262 B458791:B458798 IX458791:IX458798 ST458791:ST458798 ACP458791:ACP458798 AML458791:AML458798 AWH458791:AWH458798 BGD458791:BGD458798 BPZ458791:BPZ458798 BZV458791:BZV458798 CJR458791:CJR458798 CTN458791:CTN458798 DDJ458791:DDJ458798 DNF458791:DNF458798 DXB458791:DXB458798 EGX458791:EGX458798 EQT458791:EQT458798 FAP458791:FAP458798 FKL458791:FKL458798 FUH458791:FUH458798 GED458791:GED458798 GNZ458791:GNZ458798 GXV458791:GXV458798 HHR458791:HHR458798 HRN458791:HRN458798 IBJ458791:IBJ458798 ILF458791:ILF458798 IVB458791:IVB458798 JEX458791:JEX458798 JOT458791:JOT458798 JYP458791:JYP458798 KIL458791:KIL458798 KSH458791:KSH458798 LCD458791:LCD458798 LLZ458791:LLZ458798 LVV458791:LVV458798 MFR458791:MFR458798 MPN458791:MPN458798 MZJ458791:MZJ458798 NJF458791:NJF458798 NTB458791:NTB458798 OCX458791:OCX458798 OMT458791:OMT458798 OWP458791:OWP458798 PGL458791:PGL458798 PQH458791:PQH458798 QAD458791:QAD458798 QJZ458791:QJZ458798 QTV458791:QTV458798 RDR458791:RDR458798 RNN458791:RNN458798 RXJ458791:RXJ458798 SHF458791:SHF458798 SRB458791:SRB458798 TAX458791:TAX458798 TKT458791:TKT458798 TUP458791:TUP458798 UEL458791:UEL458798 UOH458791:UOH458798 UYD458791:UYD458798 VHZ458791:VHZ458798 VRV458791:VRV458798 WBR458791:WBR458798 WLN458791:WLN458798 WVJ458791:WVJ458798 B524327:B524334 IX524327:IX524334 ST524327:ST524334 ACP524327:ACP524334 AML524327:AML524334 AWH524327:AWH524334 BGD524327:BGD524334 BPZ524327:BPZ524334 BZV524327:BZV524334 CJR524327:CJR524334 CTN524327:CTN524334 DDJ524327:DDJ524334 DNF524327:DNF524334 DXB524327:DXB524334 EGX524327:EGX524334 EQT524327:EQT524334 FAP524327:FAP524334 FKL524327:FKL524334 FUH524327:FUH524334 GED524327:GED524334 GNZ524327:GNZ524334 GXV524327:GXV524334 HHR524327:HHR524334 HRN524327:HRN524334 IBJ524327:IBJ524334 ILF524327:ILF524334 IVB524327:IVB524334 JEX524327:JEX524334 JOT524327:JOT524334 JYP524327:JYP524334 KIL524327:KIL524334 KSH524327:KSH524334 LCD524327:LCD524334 LLZ524327:LLZ524334 LVV524327:LVV524334 MFR524327:MFR524334 MPN524327:MPN524334 MZJ524327:MZJ524334 NJF524327:NJF524334 NTB524327:NTB524334 OCX524327:OCX524334 OMT524327:OMT524334 OWP524327:OWP524334 PGL524327:PGL524334 PQH524327:PQH524334 QAD524327:QAD524334 QJZ524327:QJZ524334 QTV524327:QTV524334 RDR524327:RDR524334 RNN524327:RNN524334 RXJ524327:RXJ524334 SHF524327:SHF524334 SRB524327:SRB524334 TAX524327:TAX524334 TKT524327:TKT524334 TUP524327:TUP524334 UEL524327:UEL524334 UOH524327:UOH524334 UYD524327:UYD524334 VHZ524327:VHZ524334 VRV524327:VRV524334 WBR524327:WBR524334 WLN524327:WLN524334 WVJ524327:WVJ524334 B589863:B589870 IX589863:IX589870 ST589863:ST589870 ACP589863:ACP589870 AML589863:AML589870 AWH589863:AWH589870 BGD589863:BGD589870 BPZ589863:BPZ589870 BZV589863:BZV589870 CJR589863:CJR589870 CTN589863:CTN589870 DDJ589863:DDJ589870 DNF589863:DNF589870 DXB589863:DXB589870 EGX589863:EGX589870 EQT589863:EQT589870 FAP589863:FAP589870 FKL589863:FKL589870 FUH589863:FUH589870 GED589863:GED589870 GNZ589863:GNZ589870 GXV589863:GXV589870 HHR589863:HHR589870 HRN589863:HRN589870 IBJ589863:IBJ589870 ILF589863:ILF589870 IVB589863:IVB589870 JEX589863:JEX589870 JOT589863:JOT589870 JYP589863:JYP589870 KIL589863:KIL589870 KSH589863:KSH589870 LCD589863:LCD589870 LLZ589863:LLZ589870 LVV589863:LVV589870 MFR589863:MFR589870 MPN589863:MPN589870 MZJ589863:MZJ589870 NJF589863:NJF589870 NTB589863:NTB589870 OCX589863:OCX589870 OMT589863:OMT589870 OWP589863:OWP589870 PGL589863:PGL589870 PQH589863:PQH589870 QAD589863:QAD589870 QJZ589863:QJZ589870 QTV589863:QTV589870 RDR589863:RDR589870 RNN589863:RNN589870 RXJ589863:RXJ589870 SHF589863:SHF589870 SRB589863:SRB589870 TAX589863:TAX589870 TKT589863:TKT589870 TUP589863:TUP589870 UEL589863:UEL589870 UOH589863:UOH589870 UYD589863:UYD589870 VHZ589863:VHZ589870 VRV589863:VRV589870 WBR589863:WBR589870 WLN589863:WLN589870 WVJ589863:WVJ589870 B655399:B655406 IX655399:IX655406 ST655399:ST655406 ACP655399:ACP655406 AML655399:AML655406 AWH655399:AWH655406 BGD655399:BGD655406 BPZ655399:BPZ655406 BZV655399:BZV655406 CJR655399:CJR655406 CTN655399:CTN655406 DDJ655399:DDJ655406 DNF655399:DNF655406 DXB655399:DXB655406 EGX655399:EGX655406 EQT655399:EQT655406 FAP655399:FAP655406 FKL655399:FKL655406 FUH655399:FUH655406 GED655399:GED655406 GNZ655399:GNZ655406 GXV655399:GXV655406 HHR655399:HHR655406 HRN655399:HRN655406 IBJ655399:IBJ655406 ILF655399:ILF655406 IVB655399:IVB655406 JEX655399:JEX655406 JOT655399:JOT655406 JYP655399:JYP655406 KIL655399:KIL655406 KSH655399:KSH655406 LCD655399:LCD655406 LLZ655399:LLZ655406 LVV655399:LVV655406 MFR655399:MFR655406 MPN655399:MPN655406 MZJ655399:MZJ655406 NJF655399:NJF655406 NTB655399:NTB655406 OCX655399:OCX655406 OMT655399:OMT655406 OWP655399:OWP655406 PGL655399:PGL655406 PQH655399:PQH655406 QAD655399:QAD655406 QJZ655399:QJZ655406 QTV655399:QTV655406 RDR655399:RDR655406 RNN655399:RNN655406 RXJ655399:RXJ655406 SHF655399:SHF655406 SRB655399:SRB655406 TAX655399:TAX655406 TKT655399:TKT655406 TUP655399:TUP655406 UEL655399:UEL655406 UOH655399:UOH655406 UYD655399:UYD655406 VHZ655399:VHZ655406 VRV655399:VRV655406 WBR655399:WBR655406 WLN655399:WLN655406 WVJ655399:WVJ655406 B720935:B720942 IX720935:IX720942 ST720935:ST720942 ACP720935:ACP720942 AML720935:AML720942 AWH720935:AWH720942 BGD720935:BGD720942 BPZ720935:BPZ720942 BZV720935:BZV720942 CJR720935:CJR720942 CTN720935:CTN720942 DDJ720935:DDJ720942 DNF720935:DNF720942 DXB720935:DXB720942 EGX720935:EGX720942 EQT720935:EQT720942 FAP720935:FAP720942 FKL720935:FKL720942 FUH720935:FUH720942 GED720935:GED720942 GNZ720935:GNZ720942 GXV720935:GXV720942 HHR720935:HHR720942 HRN720935:HRN720942 IBJ720935:IBJ720942 ILF720935:ILF720942 IVB720935:IVB720942 JEX720935:JEX720942 JOT720935:JOT720942 JYP720935:JYP720942 KIL720935:KIL720942 KSH720935:KSH720942 LCD720935:LCD720942 LLZ720935:LLZ720942 LVV720935:LVV720942 MFR720935:MFR720942 MPN720935:MPN720942 MZJ720935:MZJ720942 NJF720935:NJF720942 NTB720935:NTB720942 OCX720935:OCX720942 OMT720935:OMT720942 OWP720935:OWP720942 PGL720935:PGL720942 PQH720935:PQH720942 QAD720935:QAD720942 QJZ720935:QJZ720942 QTV720935:QTV720942 RDR720935:RDR720942 RNN720935:RNN720942 RXJ720935:RXJ720942 SHF720935:SHF720942 SRB720935:SRB720942 TAX720935:TAX720942 TKT720935:TKT720942 TUP720935:TUP720942 UEL720935:UEL720942 UOH720935:UOH720942 UYD720935:UYD720942 VHZ720935:VHZ720942 VRV720935:VRV720942 WBR720935:WBR720942 WLN720935:WLN720942 WVJ720935:WVJ720942 B786471:B786478 IX786471:IX786478 ST786471:ST786478 ACP786471:ACP786478 AML786471:AML786478 AWH786471:AWH786478 BGD786471:BGD786478 BPZ786471:BPZ786478 BZV786471:BZV786478 CJR786471:CJR786478 CTN786471:CTN786478 DDJ786471:DDJ786478 DNF786471:DNF786478 DXB786471:DXB786478 EGX786471:EGX786478 EQT786471:EQT786478 FAP786471:FAP786478 FKL786471:FKL786478 FUH786471:FUH786478 GED786471:GED786478 GNZ786471:GNZ786478 GXV786471:GXV786478 HHR786471:HHR786478 HRN786471:HRN786478 IBJ786471:IBJ786478 ILF786471:ILF786478 IVB786471:IVB786478 JEX786471:JEX786478 JOT786471:JOT786478 JYP786471:JYP786478 KIL786471:KIL786478 KSH786471:KSH786478 LCD786471:LCD786478 LLZ786471:LLZ786478 LVV786471:LVV786478 MFR786471:MFR786478 MPN786471:MPN786478 MZJ786471:MZJ786478 NJF786471:NJF786478 NTB786471:NTB786478 OCX786471:OCX786478 OMT786471:OMT786478 OWP786471:OWP786478 PGL786471:PGL786478 PQH786471:PQH786478 QAD786471:QAD786478 QJZ786471:QJZ786478 QTV786471:QTV786478 RDR786471:RDR786478 RNN786471:RNN786478 RXJ786471:RXJ786478 SHF786471:SHF786478 SRB786471:SRB786478 TAX786471:TAX786478 TKT786471:TKT786478 TUP786471:TUP786478 UEL786471:UEL786478 UOH786471:UOH786478 UYD786471:UYD786478 VHZ786471:VHZ786478 VRV786471:VRV786478 WBR786471:WBR786478 WLN786471:WLN786478 WVJ786471:WVJ786478 B852007:B852014 IX852007:IX852014 ST852007:ST852014 ACP852007:ACP852014 AML852007:AML852014 AWH852007:AWH852014 BGD852007:BGD852014 BPZ852007:BPZ852014 BZV852007:BZV852014 CJR852007:CJR852014 CTN852007:CTN852014 DDJ852007:DDJ852014 DNF852007:DNF852014 DXB852007:DXB852014 EGX852007:EGX852014 EQT852007:EQT852014 FAP852007:FAP852014 FKL852007:FKL852014 FUH852007:FUH852014 GED852007:GED852014 GNZ852007:GNZ852014 GXV852007:GXV852014 HHR852007:HHR852014 HRN852007:HRN852014 IBJ852007:IBJ852014 ILF852007:ILF852014 IVB852007:IVB852014 JEX852007:JEX852014 JOT852007:JOT852014 JYP852007:JYP852014 KIL852007:KIL852014 KSH852007:KSH852014 LCD852007:LCD852014 LLZ852007:LLZ852014 LVV852007:LVV852014 MFR852007:MFR852014 MPN852007:MPN852014 MZJ852007:MZJ852014 NJF852007:NJF852014 NTB852007:NTB852014 OCX852007:OCX852014 OMT852007:OMT852014 OWP852007:OWP852014 PGL852007:PGL852014 PQH852007:PQH852014 QAD852007:QAD852014 QJZ852007:QJZ852014 QTV852007:QTV852014 RDR852007:RDR852014 RNN852007:RNN852014 RXJ852007:RXJ852014 SHF852007:SHF852014 SRB852007:SRB852014 TAX852007:TAX852014 TKT852007:TKT852014 TUP852007:TUP852014 UEL852007:UEL852014 UOH852007:UOH852014 UYD852007:UYD852014 VHZ852007:VHZ852014 VRV852007:VRV852014 WBR852007:WBR852014 WLN852007:WLN852014 WVJ852007:WVJ852014 B917543:B917550 IX917543:IX917550 ST917543:ST917550 ACP917543:ACP917550 AML917543:AML917550 AWH917543:AWH917550 BGD917543:BGD917550 BPZ917543:BPZ917550 BZV917543:BZV917550 CJR917543:CJR917550 CTN917543:CTN917550 DDJ917543:DDJ917550 DNF917543:DNF917550 DXB917543:DXB917550 EGX917543:EGX917550 EQT917543:EQT917550 FAP917543:FAP917550 FKL917543:FKL917550 FUH917543:FUH917550 GED917543:GED917550 GNZ917543:GNZ917550 GXV917543:GXV917550 HHR917543:HHR917550 HRN917543:HRN917550 IBJ917543:IBJ917550 ILF917543:ILF917550 IVB917543:IVB917550 JEX917543:JEX917550 JOT917543:JOT917550 JYP917543:JYP917550 KIL917543:KIL917550 KSH917543:KSH917550 LCD917543:LCD917550 LLZ917543:LLZ917550 LVV917543:LVV917550 MFR917543:MFR917550 MPN917543:MPN917550 MZJ917543:MZJ917550 NJF917543:NJF917550 NTB917543:NTB917550 OCX917543:OCX917550 OMT917543:OMT917550 OWP917543:OWP917550 PGL917543:PGL917550 PQH917543:PQH917550 QAD917543:QAD917550 QJZ917543:QJZ917550 QTV917543:QTV917550 RDR917543:RDR917550 RNN917543:RNN917550 RXJ917543:RXJ917550 SHF917543:SHF917550 SRB917543:SRB917550 TAX917543:TAX917550 TKT917543:TKT917550 TUP917543:TUP917550 UEL917543:UEL917550 UOH917543:UOH917550 UYD917543:UYD917550 VHZ917543:VHZ917550 VRV917543:VRV917550 WBR917543:WBR917550 WLN917543:WLN917550 WVJ917543:WVJ917550 B983079:B983086 IX983079:IX983086 ST983079:ST983086 ACP983079:ACP983086 AML983079:AML983086 AWH983079:AWH983086 BGD983079:BGD983086 BPZ983079:BPZ983086 BZV983079:BZV983086 CJR983079:CJR983086 CTN983079:CTN983086 DDJ983079:DDJ983086 DNF983079:DNF983086 DXB983079:DXB983086 EGX983079:EGX983086 EQT983079:EQT983086 FAP983079:FAP983086 FKL983079:FKL983086 FUH983079:FUH983086 GED983079:GED983086 GNZ983079:GNZ983086 GXV983079:GXV983086 HHR983079:HHR983086 HRN983079:HRN983086 IBJ983079:IBJ983086 ILF983079:ILF983086 IVB983079:IVB983086 JEX983079:JEX983086 JOT983079:JOT983086 JYP983079:JYP983086 KIL983079:KIL983086 KSH983079:KSH983086 LCD983079:LCD983086 LLZ983079:LLZ983086 LVV983079:LVV983086 MFR983079:MFR983086 MPN983079:MPN983086 MZJ983079:MZJ983086 NJF983079:NJF983086 NTB983079:NTB983086 OCX983079:OCX983086 OMT983079:OMT983086 OWP983079:OWP983086 PGL983079:PGL983086 PQH983079:PQH983086 QAD983079:QAD983086 QJZ983079:QJZ983086 QTV983079:QTV983086 RDR983079:RDR983086 RNN983079:RNN983086 RXJ983079:RXJ983086 SHF983079:SHF983086 SRB983079:SRB983086 TAX983079:TAX983086 TKT983079:TKT983086 TUP983079:TUP983086 UEL983079:UEL983086 UOH983079:UOH983086 UYD983079:UYD983086 VHZ983079:VHZ983086 VRV983079:VRV983086 WBR983079:WBR983086 WLN983079:WLN983086 WVJ983079:WVJ983086 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C65486 IY65486 SU65486 ACQ65486 AMM65486 AWI65486 BGE65486 BQA65486 BZW65486 CJS65486 CTO65486 DDK65486 DNG65486 DXC65486 EGY65486 EQU65486 FAQ65486 FKM65486 FUI65486 GEE65486 GOA65486 GXW65486 HHS65486 HRO65486 IBK65486 ILG65486 IVC65486 JEY65486 JOU65486 JYQ65486 KIM65486 KSI65486 LCE65486 LMA65486 LVW65486 MFS65486 MPO65486 MZK65486 NJG65486 NTC65486 OCY65486 OMU65486 OWQ65486 PGM65486 PQI65486 QAE65486 QKA65486 QTW65486 RDS65486 RNO65486 RXK65486 SHG65486 SRC65486 TAY65486 TKU65486 TUQ65486 UEM65486 UOI65486 UYE65486 VIA65486 VRW65486 WBS65486 WLO65486 WVK65486 C131022 IY131022 SU131022 ACQ131022 AMM131022 AWI131022 BGE131022 BQA131022 BZW131022 CJS131022 CTO131022 DDK131022 DNG131022 DXC131022 EGY131022 EQU131022 FAQ131022 FKM131022 FUI131022 GEE131022 GOA131022 GXW131022 HHS131022 HRO131022 IBK131022 ILG131022 IVC131022 JEY131022 JOU131022 JYQ131022 KIM131022 KSI131022 LCE131022 LMA131022 LVW131022 MFS131022 MPO131022 MZK131022 NJG131022 NTC131022 OCY131022 OMU131022 OWQ131022 PGM131022 PQI131022 QAE131022 QKA131022 QTW131022 RDS131022 RNO131022 RXK131022 SHG131022 SRC131022 TAY131022 TKU131022 TUQ131022 UEM131022 UOI131022 UYE131022 VIA131022 VRW131022 WBS131022 WLO131022 WVK131022 C196558 IY196558 SU196558 ACQ196558 AMM196558 AWI196558 BGE196558 BQA196558 BZW196558 CJS196558 CTO196558 DDK196558 DNG196558 DXC196558 EGY196558 EQU196558 FAQ196558 FKM196558 FUI196558 GEE196558 GOA196558 GXW196558 HHS196558 HRO196558 IBK196558 ILG196558 IVC196558 JEY196558 JOU196558 JYQ196558 KIM196558 KSI196558 LCE196558 LMA196558 LVW196558 MFS196558 MPO196558 MZK196558 NJG196558 NTC196558 OCY196558 OMU196558 OWQ196558 PGM196558 PQI196558 QAE196558 QKA196558 QTW196558 RDS196558 RNO196558 RXK196558 SHG196558 SRC196558 TAY196558 TKU196558 TUQ196558 UEM196558 UOI196558 UYE196558 VIA196558 VRW196558 WBS196558 WLO196558 WVK196558 C262094 IY262094 SU262094 ACQ262094 AMM262094 AWI262094 BGE262094 BQA262094 BZW262094 CJS262094 CTO262094 DDK262094 DNG262094 DXC262094 EGY262094 EQU262094 FAQ262094 FKM262094 FUI262094 GEE262094 GOA262094 GXW262094 HHS262094 HRO262094 IBK262094 ILG262094 IVC262094 JEY262094 JOU262094 JYQ262094 KIM262094 KSI262094 LCE262094 LMA262094 LVW262094 MFS262094 MPO262094 MZK262094 NJG262094 NTC262094 OCY262094 OMU262094 OWQ262094 PGM262094 PQI262094 QAE262094 QKA262094 QTW262094 RDS262094 RNO262094 RXK262094 SHG262094 SRC262094 TAY262094 TKU262094 TUQ262094 UEM262094 UOI262094 UYE262094 VIA262094 VRW262094 WBS262094 WLO262094 WVK262094 C327630 IY327630 SU327630 ACQ327630 AMM327630 AWI327630 BGE327630 BQA327630 BZW327630 CJS327630 CTO327630 DDK327630 DNG327630 DXC327630 EGY327630 EQU327630 FAQ327630 FKM327630 FUI327630 GEE327630 GOA327630 GXW327630 HHS327630 HRO327630 IBK327630 ILG327630 IVC327630 JEY327630 JOU327630 JYQ327630 KIM327630 KSI327630 LCE327630 LMA327630 LVW327630 MFS327630 MPO327630 MZK327630 NJG327630 NTC327630 OCY327630 OMU327630 OWQ327630 PGM327630 PQI327630 QAE327630 QKA327630 QTW327630 RDS327630 RNO327630 RXK327630 SHG327630 SRC327630 TAY327630 TKU327630 TUQ327630 UEM327630 UOI327630 UYE327630 VIA327630 VRW327630 WBS327630 WLO327630 WVK327630 C393166 IY393166 SU393166 ACQ393166 AMM393166 AWI393166 BGE393166 BQA393166 BZW393166 CJS393166 CTO393166 DDK393166 DNG393166 DXC393166 EGY393166 EQU393166 FAQ393166 FKM393166 FUI393166 GEE393166 GOA393166 GXW393166 HHS393166 HRO393166 IBK393166 ILG393166 IVC393166 JEY393166 JOU393166 JYQ393166 KIM393166 KSI393166 LCE393166 LMA393166 LVW393166 MFS393166 MPO393166 MZK393166 NJG393166 NTC393166 OCY393166 OMU393166 OWQ393166 PGM393166 PQI393166 QAE393166 QKA393166 QTW393166 RDS393166 RNO393166 RXK393166 SHG393166 SRC393166 TAY393166 TKU393166 TUQ393166 UEM393166 UOI393166 UYE393166 VIA393166 VRW393166 WBS393166 WLO393166 WVK393166 C458702 IY458702 SU458702 ACQ458702 AMM458702 AWI458702 BGE458702 BQA458702 BZW458702 CJS458702 CTO458702 DDK458702 DNG458702 DXC458702 EGY458702 EQU458702 FAQ458702 FKM458702 FUI458702 GEE458702 GOA458702 GXW458702 HHS458702 HRO458702 IBK458702 ILG458702 IVC458702 JEY458702 JOU458702 JYQ458702 KIM458702 KSI458702 LCE458702 LMA458702 LVW458702 MFS458702 MPO458702 MZK458702 NJG458702 NTC458702 OCY458702 OMU458702 OWQ458702 PGM458702 PQI458702 QAE458702 QKA458702 QTW458702 RDS458702 RNO458702 RXK458702 SHG458702 SRC458702 TAY458702 TKU458702 TUQ458702 UEM458702 UOI458702 UYE458702 VIA458702 VRW458702 WBS458702 WLO458702 WVK458702 C524238 IY524238 SU524238 ACQ524238 AMM524238 AWI524238 BGE524238 BQA524238 BZW524238 CJS524238 CTO524238 DDK524238 DNG524238 DXC524238 EGY524238 EQU524238 FAQ524238 FKM524238 FUI524238 GEE524238 GOA524238 GXW524238 HHS524238 HRO524238 IBK524238 ILG524238 IVC524238 JEY524238 JOU524238 JYQ524238 KIM524238 KSI524238 LCE524238 LMA524238 LVW524238 MFS524238 MPO524238 MZK524238 NJG524238 NTC524238 OCY524238 OMU524238 OWQ524238 PGM524238 PQI524238 QAE524238 QKA524238 QTW524238 RDS524238 RNO524238 RXK524238 SHG524238 SRC524238 TAY524238 TKU524238 TUQ524238 UEM524238 UOI524238 UYE524238 VIA524238 VRW524238 WBS524238 WLO524238 WVK524238 C589774 IY589774 SU589774 ACQ589774 AMM589774 AWI589774 BGE589774 BQA589774 BZW589774 CJS589774 CTO589774 DDK589774 DNG589774 DXC589774 EGY589774 EQU589774 FAQ589774 FKM589774 FUI589774 GEE589774 GOA589774 GXW589774 HHS589774 HRO589774 IBK589774 ILG589774 IVC589774 JEY589774 JOU589774 JYQ589774 KIM589774 KSI589774 LCE589774 LMA589774 LVW589774 MFS589774 MPO589774 MZK589774 NJG589774 NTC589774 OCY589774 OMU589774 OWQ589774 PGM589774 PQI589774 QAE589774 QKA589774 QTW589774 RDS589774 RNO589774 RXK589774 SHG589774 SRC589774 TAY589774 TKU589774 TUQ589774 UEM589774 UOI589774 UYE589774 VIA589774 VRW589774 WBS589774 WLO589774 WVK589774 C655310 IY655310 SU655310 ACQ655310 AMM655310 AWI655310 BGE655310 BQA655310 BZW655310 CJS655310 CTO655310 DDK655310 DNG655310 DXC655310 EGY655310 EQU655310 FAQ655310 FKM655310 FUI655310 GEE655310 GOA655310 GXW655310 HHS655310 HRO655310 IBK655310 ILG655310 IVC655310 JEY655310 JOU655310 JYQ655310 KIM655310 KSI655310 LCE655310 LMA655310 LVW655310 MFS655310 MPO655310 MZK655310 NJG655310 NTC655310 OCY655310 OMU655310 OWQ655310 PGM655310 PQI655310 QAE655310 QKA655310 QTW655310 RDS655310 RNO655310 RXK655310 SHG655310 SRC655310 TAY655310 TKU655310 TUQ655310 UEM655310 UOI655310 UYE655310 VIA655310 VRW655310 WBS655310 WLO655310 WVK655310 C720846 IY720846 SU720846 ACQ720846 AMM720846 AWI720846 BGE720846 BQA720846 BZW720846 CJS720846 CTO720846 DDK720846 DNG720846 DXC720846 EGY720846 EQU720846 FAQ720846 FKM720846 FUI720846 GEE720846 GOA720846 GXW720846 HHS720846 HRO720846 IBK720846 ILG720846 IVC720846 JEY720846 JOU720846 JYQ720846 KIM720846 KSI720846 LCE720846 LMA720846 LVW720846 MFS720846 MPO720846 MZK720846 NJG720846 NTC720846 OCY720846 OMU720846 OWQ720846 PGM720846 PQI720846 QAE720846 QKA720846 QTW720846 RDS720846 RNO720846 RXK720846 SHG720846 SRC720846 TAY720846 TKU720846 TUQ720846 UEM720846 UOI720846 UYE720846 VIA720846 VRW720846 WBS720846 WLO720846 WVK720846 C786382 IY786382 SU786382 ACQ786382 AMM786382 AWI786382 BGE786382 BQA786382 BZW786382 CJS786382 CTO786382 DDK786382 DNG786382 DXC786382 EGY786382 EQU786382 FAQ786382 FKM786382 FUI786382 GEE786382 GOA786382 GXW786382 HHS786382 HRO786382 IBK786382 ILG786382 IVC786382 JEY786382 JOU786382 JYQ786382 KIM786382 KSI786382 LCE786382 LMA786382 LVW786382 MFS786382 MPO786382 MZK786382 NJG786382 NTC786382 OCY786382 OMU786382 OWQ786382 PGM786382 PQI786382 QAE786382 QKA786382 QTW786382 RDS786382 RNO786382 RXK786382 SHG786382 SRC786382 TAY786382 TKU786382 TUQ786382 UEM786382 UOI786382 UYE786382 VIA786382 VRW786382 WBS786382 WLO786382 WVK786382 C851918 IY851918 SU851918 ACQ851918 AMM851918 AWI851918 BGE851918 BQA851918 BZW851918 CJS851918 CTO851918 DDK851918 DNG851918 DXC851918 EGY851918 EQU851918 FAQ851918 FKM851918 FUI851918 GEE851918 GOA851918 GXW851918 HHS851918 HRO851918 IBK851918 ILG851918 IVC851918 JEY851918 JOU851918 JYQ851918 KIM851918 KSI851918 LCE851918 LMA851918 LVW851918 MFS851918 MPO851918 MZK851918 NJG851918 NTC851918 OCY851918 OMU851918 OWQ851918 PGM851918 PQI851918 QAE851918 QKA851918 QTW851918 RDS851918 RNO851918 RXK851918 SHG851918 SRC851918 TAY851918 TKU851918 TUQ851918 UEM851918 UOI851918 UYE851918 VIA851918 VRW851918 WBS851918 WLO851918 WVK851918 C917454 IY917454 SU917454 ACQ917454 AMM917454 AWI917454 BGE917454 BQA917454 BZW917454 CJS917454 CTO917454 DDK917454 DNG917454 DXC917454 EGY917454 EQU917454 FAQ917454 FKM917454 FUI917454 GEE917454 GOA917454 GXW917454 HHS917454 HRO917454 IBK917454 ILG917454 IVC917454 JEY917454 JOU917454 JYQ917454 KIM917454 KSI917454 LCE917454 LMA917454 LVW917454 MFS917454 MPO917454 MZK917454 NJG917454 NTC917454 OCY917454 OMU917454 OWQ917454 PGM917454 PQI917454 QAE917454 QKA917454 QTW917454 RDS917454 RNO917454 RXK917454 SHG917454 SRC917454 TAY917454 TKU917454 TUQ917454 UEM917454 UOI917454 UYE917454 VIA917454 VRW917454 WBS917454 WLO917454 WVK917454 C982990 IY982990 SU982990 ACQ982990 AMM982990 AWI982990 BGE982990 BQA982990 BZW982990 CJS982990 CTO982990 DDK982990 DNG982990 DXC982990 EGY982990 EQU982990 FAQ982990 FKM982990 FUI982990 GEE982990 GOA982990 GXW982990 HHS982990 HRO982990 IBK982990 ILG982990 IVC982990 JEY982990 JOU982990 JYQ982990 KIM982990 KSI982990 LCE982990 LMA982990 LVW982990 MFS982990 MPO982990 MZK982990 NJG982990 NTC982990 OCY982990 OMU982990 OWQ982990 PGM982990 PQI982990 QAE982990 QKA982990 QTW982990 RDS982990 RNO982990 RXK982990 SHG982990 SRC982990 TAY982990 TKU982990 TUQ982990 UEM982990 UOI982990 UYE982990 VIA982990 VRW982990 WBS982990 WLO982990 WVK982990 B89:B91 IX89:IX91 ST89:ST91 ACP89:ACP91 AML89:AML91 AWH89:AWH91 BGD89:BGD91 BPZ89:BPZ91 BZV89:BZV91 CJR89:CJR91 CTN89:CTN91 DDJ89:DDJ91 DNF89:DNF91 DXB89:DXB91 EGX89:EGX91 EQT89:EQT91 FAP89:FAP91 FKL89:FKL91 FUH89:FUH91 GED89:GED91 GNZ89:GNZ91 GXV89:GXV91 HHR89:HHR91 HRN89:HRN91 IBJ89:IBJ91 ILF89:ILF91 IVB89:IVB91 JEX89:JEX91 JOT89:JOT91 JYP89:JYP91 KIL89:KIL91 KSH89:KSH91 LCD89:LCD91 LLZ89:LLZ91 LVV89:LVV91 MFR89:MFR91 MPN89:MPN91 MZJ89:MZJ91 NJF89:NJF91 NTB89:NTB91 OCX89:OCX91 OMT89:OMT91 OWP89:OWP91 PGL89:PGL91 PQH89:PQH91 QAD89:QAD91 QJZ89:QJZ91 QTV89:QTV91 RDR89:RDR91 RNN89:RNN91 RXJ89:RXJ91 SHF89:SHF91 SRB89:SRB91 TAX89:TAX91 TKT89:TKT91 TUP89:TUP91 UEL89:UEL91 UOH89:UOH91 UYD89:UYD91 VHZ89:VHZ91 VRV89:VRV91 WBR89:WBR91 WLN89:WLN91 WVJ89:WVJ91 B65627:B65628 IX65627:IX65628 ST65627:ST65628 ACP65627:ACP65628 AML65627:AML65628 AWH65627:AWH65628 BGD65627:BGD65628 BPZ65627:BPZ65628 BZV65627:BZV65628 CJR65627:CJR65628 CTN65627:CTN65628 DDJ65627:DDJ65628 DNF65627:DNF65628 DXB65627:DXB65628 EGX65627:EGX65628 EQT65627:EQT65628 FAP65627:FAP65628 FKL65627:FKL65628 FUH65627:FUH65628 GED65627:GED65628 GNZ65627:GNZ65628 GXV65627:GXV65628 HHR65627:HHR65628 HRN65627:HRN65628 IBJ65627:IBJ65628 ILF65627:ILF65628 IVB65627:IVB65628 JEX65627:JEX65628 JOT65627:JOT65628 JYP65627:JYP65628 KIL65627:KIL65628 KSH65627:KSH65628 LCD65627:LCD65628 LLZ65627:LLZ65628 LVV65627:LVV65628 MFR65627:MFR65628 MPN65627:MPN65628 MZJ65627:MZJ65628 NJF65627:NJF65628 NTB65627:NTB65628 OCX65627:OCX65628 OMT65627:OMT65628 OWP65627:OWP65628 PGL65627:PGL65628 PQH65627:PQH65628 QAD65627:QAD65628 QJZ65627:QJZ65628 QTV65627:QTV65628 RDR65627:RDR65628 RNN65627:RNN65628 RXJ65627:RXJ65628 SHF65627:SHF65628 SRB65627:SRB65628 TAX65627:TAX65628 TKT65627:TKT65628 TUP65627:TUP65628 UEL65627:UEL65628 UOH65627:UOH65628 UYD65627:UYD65628 VHZ65627:VHZ65628 VRV65627:VRV65628 WBR65627:WBR65628 WLN65627:WLN65628 WVJ65627:WVJ65628 B131163:B131164 IX131163:IX131164 ST131163:ST131164 ACP131163:ACP131164 AML131163:AML131164 AWH131163:AWH131164 BGD131163:BGD131164 BPZ131163:BPZ131164 BZV131163:BZV131164 CJR131163:CJR131164 CTN131163:CTN131164 DDJ131163:DDJ131164 DNF131163:DNF131164 DXB131163:DXB131164 EGX131163:EGX131164 EQT131163:EQT131164 FAP131163:FAP131164 FKL131163:FKL131164 FUH131163:FUH131164 GED131163:GED131164 GNZ131163:GNZ131164 GXV131163:GXV131164 HHR131163:HHR131164 HRN131163:HRN131164 IBJ131163:IBJ131164 ILF131163:ILF131164 IVB131163:IVB131164 JEX131163:JEX131164 JOT131163:JOT131164 JYP131163:JYP131164 KIL131163:KIL131164 KSH131163:KSH131164 LCD131163:LCD131164 LLZ131163:LLZ131164 LVV131163:LVV131164 MFR131163:MFR131164 MPN131163:MPN131164 MZJ131163:MZJ131164 NJF131163:NJF131164 NTB131163:NTB131164 OCX131163:OCX131164 OMT131163:OMT131164 OWP131163:OWP131164 PGL131163:PGL131164 PQH131163:PQH131164 QAD131163:QAD131164 QJZ131163:QJZ131164 QTV131163:QTV131164 RDR131163:RDR131164 RNN131163:RNN131164 RXJ131163:RXJ131164 SHF131163:SHF131164 SRB131163:SRB131164 TAX131163:TAX131164 TKT131163:TKT131164 TUP131163:TUP131164 UEL131163:UEL131164 UOH131163:UOH131164 UYD131163:UYD131164 VHZ131163:VHZ131164 VRV131163:VRV131164 WBR131163:WBR131164 WLN131163:WLN131164 WVJ131163:WVJ131164 B196699:B196700 IX196699:IX196700 ST196699:ST196700 ACP196699:ACP196700 AML196699:AML196700 AWH196699:AWH196700 BGD196699:BGD196700 BPZ196699:BPZ196700 BZV196699:BZV196700 CJR196699:CJR196700 CTN196699:CTN196700 DDJ196699:DDJ196700 DNF196699:DNF196700 DXB196699:DXB196700 EGX196699:EGX196700 EQT196699:EQT196700 FAP196699:FAP196700 FKL196699:FKL196700 FUH196699:FUH196700 GED196699:GED196700 GNZ196699:GNZ196700 GXV196699:GXV196700 HHR196699:HHR196700 HRN196699:HRN196700 IBJ196699:IBJ196700 ILF196699:ILF196700 IVB196699:IVB196700 JEX196699:JEX196700 JOT196699:JOT196700 JYP196699:JYP196700 KIL196699:KIL196700 KSH196699:KSH196700 LCD196699:LCD196700 LLZ196699:LLZ196700 LVV196699:LVV196700 MFR196699:MFR196700 MPN196699:MPN196700 MZJ196699:MZJ196700 NJF196699:NJF196700 NTB196699:NTB196700 OCX196699:OCX196700 OMT196699:OMT196700 OWP196699:OWP196700 PGL196699:PGL196700 PQH196699:PQH196700 QAD196699:QAD196700 QJZ196699:QJZ196700 QTV196699:QTV196700 RDR196699:RDR196700 RNN196699:RNN196700 RXJ196699:RXJ196700 SHF196699:SHF196700 SRB196699:SRB196700 TAX196699:TAX196700 TKT196699:TKT196700 TUP196699:TUP196700 UEL196699:UEL196700 UOH196699:UOH196700 UYD196699:UYD196700 VHZ196699:VHZ196700 VRV196699:VRV196700 WBR196699:WBR196700 WLN196699:WLN196700 WVJ196699:WVJ196700 B262235:B262236 IX262235:IX262236 ST262235:ST262236 ACP262235:ACP262236 AML262235:AML262236 AWH262235:AWH262236 BGD262235:BGD262236 BPZ262235:BPZ262236 BZV262235:BZV262236 CJR262235:CJR262236 CTN262235:CTN262236 DDJ262235:DDJ262236 DNF262235:DNF262236 DXB262235:DXB262236 EGX262235:EGX262236 EQT262235:EQT262236 FAP262235:FAP262236 FKL262235:FKL262236 FUH262235:FUH262236 GED262235:GED262236 GNZ262235:GNZ262236 GXV262235:GXV262236 HHR262235:HHR262236 HRN262235:HRN262236 IBJ262235:IBJ262236 ILF262235:ILF262236 IVB262235:IVB262236 JEX262235:JEX262236 JOT262235:JOT262236 JYP262235:JYP262236 KIL262235:KIL262236 KSH262235:KSH262236 LCD262235:LCD262236 LLZ262235:LLZ262236 LVV262235:LVV262236 MFR262235:MFR262236 MPN262235:MPN262236 MZJ262235:MZJ262236 NJF262235:NJF262236 NTB262235:NTB262236 OCX262235:OCX262236 OMT262235:OMT262236 OWP262235:OWP262236 PGL262235:PGL262236 PQH262235:PQH262236 QAD262235:QAD262236 QJZ262235:QJZ262236 QTV262235:QTV262236 RDR262235:RDR262236 RNN262235:RNN262236 RXJ262235:RXJ262236 SHF262235:SHF262236 SRB262235:SRB262236 TAX262235:TAX262236 TKT262235:TKT262236 TUP262235:TUP262236 UEL262235:UEL262236 UOH262235:UOH262236 UYD262235:UYD262236 VHZ262235:VHZ262236 VRV262235:VRV262236 WBR262235:WBR262236 WLN262235:WLN262236 WVJ262235:WVJ262236 B327771:B327772 IX327771:IX327772 ST327771:ST327772 ACP327771:ACP327772 AML327771:AML327772 AWH327771:AWH327772 BGD327771:BGD327772 BPZ327771:BPZ327772 BZV327771:BZV327772 CJR327771:CJR327772 CTN327771:CTN327772 DDJ327771:DDJ327772 DNF327771:DNF327772 DXB327771:DXB327772 EGX327771:EGX327772 EQT327771:EQT327772 FAP327771:FAP327772 FKL327771:FKL327772 FUH327771:FUH327772 GED327771:GED327772 GNZ327771:GNZ327772 GXV327771:GXV327772 HHR327771:HHR327772 HRN327771:HRN327772 IBJ327771:IBJ327772 ILF327771:ILF327772 IVB327771:IVB327772 JEX327771:JEX327772 JOT327771:JOT327772 JYP327771:JYP327772 KIL327771:KIL327772 KSH327771:KSH327772 LCD327771:LCD327772 LLZ327771:LLZ327772 LVV327771:LVV327772 MFR327771:MFR327772 MPN327771:MPN327772 MZJ327771:MZJ327772 NJF327771:NJF327772 NTB327771:NTB327772 OCX327771:OCX327772 OMT327771:OMT327772 OWP327771:OWP327772 PGL327771:PGL327772 PQH327771:PQH327772 QAD327771:QAD327772 QJZ327771:QJZ327772 QTV327771:QTV327772 RDR327771:RDR327772 RNN327771:RNN327772 RXJ327771:RXJ327772 SHF327771:SHF327772 SRB327771:SRB327772 TAX327771:TAX327772 TKT327771:TKT327772 TUP327771:TUP327772 UEL327771:UEL327772 UOH327771:UOH327772 UYD327771:UYD327772 VHZ327771:VHZ327772 VRV327771:VRV327772 WBR327771:WBR327772 WLN327771:WLN327772 WVJ327771:WVJ327772 B393307:B393308 IX393307:IX393308 ST393307:ST393308 ACP393307:ACP393308 AML393307:AML393308 AWH393307:AWH393308 BGD393307:BGD393308 BPZ393307:BPZ393308 BZV393307:BZV393308 CJR393307:CJR393308 CTN393307:CTN393308 DDJ393307:DDJ393308 DNF393307:DNF393308 DXB393307:DXB393308 EGX393307:EGX393308 EQT393307:EQT393308 FAP393307:FAP393308 FKL393307:FKL393308 FUH393307:FUH393308 GED393307:GED393308 GNZ393307:GNZ393308 GXV393307:GXV393308 HHR393307:HHR393308 HRN393307:HRN393308 IBJ393307:IBJ393308 ILF393307:ILF393308 IVB393307:IVB393308 JEX393307:JEX393308 JOT393307:JOT393308 JYP393307:JYP393308 KIL393307:KIL393308 KSH393307:KSH393308 LCD393307:LCD393308 LLZ393307:LLZ393308 LVV393307:LVV393308 MFR393307:MFR393308 MPN393307:MPN393308 MZJ393307:MZJ393308 NJF393307:NJF393308 NTB393307:NTB393308 OCX393307:OCX393308 OMT393307:OMT393308 OWP393307:OWP393308 PGL393307:PGL393308 PQH393307:PQH393308 QAD393307:QAD393308 QJZ393307:QJZ393308 QTV393307:QTV393308 RDR393307:RDR393308 RNN393307:RNN393308 RXJ393307:RXJ393308 SHF393307:SHF393308 SRB393307:SRB393308 TAX393307:TAX393308 TKT393307:TKT393308 TUP393307:TUP393308 UEL393307:UEL393308 UOH393307:UOH393308 UYD393307:UYD393308 VHZ393307:VHZ393308 VRV393307:VRV393308 WBR393307:WBR393308 WLN393307:WLN393308 WVJ393307:WVJ393308 B458843:B458844 IX458843:IX458844 ST458843:ST458844 ACP458843:ACP458844 AML458843:AML458844 AWH458843:AWH458844 BGD458843:BGD458844 BPZ458843:BPZ458844 BZV458843:BZV458844 CJR458843:CJR458844 CTN458843:CTN458844 DDJ458843:DDJ458844 DNF458843:DNF458844 DXB458843:DXB458844 EGX458843:EGX458844 EQT458843:EQT458844 FAP458843:FAP458844 FKL458843:FKL458844 FUH458843:FUH458844 GED458843:GED458844 GNZ458843:GNZ458844 GXV458843:GXV458844 HHR458843:HHR458844 HRN458843:HRN458844 IBJ458843:IBJ458844 ILF458843:ILF458844 IVB458843:IVB458844 JEX458843:JEX458844 JOT458843:JOT458844 JYP458843:JYP458844 KIL458843:KIL458844 KSH458843:KSH458844 LCD458843:LCD458844 LLZ458843:LLZ458844 LVV458843:LVV458844 MFR458843:MFR458844 MPN458843:MPN458844 MZJ458843:MZJ458844 NJF458843:NJF458844 NTB458843:NTB458844 OCX458843:OCX458844 OMT458843:OMT458844 OWP458843:OWP458844 PGL458843:PGL458844 PQH458843:PQH458844 QAD458843:QAD458844 QJZ458843:QJZ458844 QTV458843:QTV458844 RDR458843:RDR458844 RNN458843:RNN458844 RXJ458843:RXJ458844 SHF458843:SHF458844 SRB458843:SRB458844 TAX458843:TAX458844 TKT458843:TKT458844 TUP458843:TUP458844 UEL458843:UEL458844 UOH458843:UOH458844 UYD458843:UYD458844 VHZ458843:VHZ458844 VRV458843:VRV458844 WBR458843:WBR458844 WLN458843:WLN458844 WVJ458843:WVJ458844 B524379:B524380 IX524379:IX524380 ST524379:ST524380 ACP524379:ACP524380 AML524379:AML524380 AWH524379:AWH524380 BGD524379:BGD524380 BPZ524379:BPZ524380 BZV524379:BZV524380 CJR524379:CJR524380 CTN524379:CTN524380 DDJ524379:DDJ524380 DNF524379:DNF524380 DXB524379:DXB524380 EGX524379:EGX524380 EQT524379:EQT524380 FAP524379:FAP524380 FKL524379:FKL524380 FUH524379:FUH524380 GED524379:GED524380 GNZ524379:GNZ524380 GXV524379:GXV524380 HHR524379:HHR524380 HRN524379:HRN524380 IBJ524379:IBJ524380 ILF524379:ILF524380 IVB524379:IVB524380 JEX524379:JEX524380 JOT524379:JOT524380 JYP524379:JYP524380 KIL524379:KIL524380 KSH524379:KSH524380 LCD524379:LCD524380 LLZ524379:LLZ524380 LVV524379:LVV524380 MFR524379:MFR524380 MPN524379:MPN524380 MZJ524379:MZJ524380 NJF524379:NJF524380 NTB524379:NTB524380 OCX524379:OCX524380 OMT524379:OMT524380 OWP524379:OWP524380 PGL524379:PGL524380 PQH524379:PQH524380 QAD524379:QAD524380 QJZ524379:QJZ524380 QTV524379:QTV524380 RDR524379:RDR524380 RNN524379:RNN524380 RXJ524379:RXJ524380 SHF524379:SHF524380 SRB524379:SRB524380 TAX524379:TAX524380 TKT524379:TKT524380 TUP524379:TUP524380 UEL524379:UEL524380 UOH524379:UOH524380 UYD524379:UYD524380 VHZ524379:VHZ524380 VRV524379:VRV524380 WBR524379:WBR524380 WLN524379:WLN524380 WVJ524379:WVJ524380 B589915:B589916 IX589915:IX589916 ST589915:ST589916 ACP589915:ACP589916 AML589915:AML589916 AWH589915:AWH589916 BGD589915:BGD589916 BPZ589915:BPZ589916 BZV589915:BZV589916 CJR589915:CJR589916 CTN589915:CTN589916 DDJ589915:DDJ589916 DNF589915:DNF589916 DXB589915:DXB589916 EGX589915:EGX589916 EQT589915:EQT589916 FAP589915:FAP589916 FKL589915:FKL589916 FUH589915:FUH589916 GED589915:GED589916 GNZ589915:GNZ589916 GXV589915:GXV589916 HHR589915:HHR589916 HRN589915:HRN589916 IBJ589915:IBJ589916 ILF589915:ILF589916 IVB589915:IVB589916 JEX589915:JEX589916 JOT589915:JOT589916 JYP589915:JYP589916 KIL589915:KIL589916 KSH589915:KSH589916 LCD589915:LCD589916 LLZ589915:LLZ589916 LVV589915:LVV589916 MFR589915:MFR589916 MPN589915:MPN589916 MZJ589915:MZJ589916 NJF589915:NJF589916 NTB589915:NTB589916 OCX589915:OCX589916 OMT589915:OMT589916 OWP589915:OWP589916 PGL589915:PGL589916 PQH589915:PQH589916 QAD589915:QAD589916 QJZ589915:QJZ589916 QTV589915:QTV589916 RDR589915:RDR589916 RNN589915:RNN589916 RXJ589915:RXJ589916 SHF589915:SHF589916 SRB589915:SRB589916 TAX589915:TAX589916 TKT589915:TKT589916 TUP589915:TUP589916 UEL589915:UEL589916 UOH589915:UOH589916 UYD589915:UYD589916 VHZ589915:VHZ589916 VRV589915:VRV589916 WBR589915:WBR589916 WLN589915:WLN589916 WVJ589915:WVJ589916 B655451:B655452 IX655451:IX655452 ST655451:ST655452 ACP655451:ACP655452 AML655451:AML655452 AWH655451:AWH655452 BGD655451:BGD655452 BPZ655451:BPZ655452 BZV655451:BZV655452 CJR655451:CJR655452 CTN655451:CTN655452 DDJ655451:DDJ655452 DNF655451:DNF655452 DXB655451:DXB655452 EGX655451:EGX655452 EQT655451:EQT655452 FAP655451:FAP655452 FKL655451:FKL655452 FUH655451:FUH655452 GED655451:GED655452 GNZ655451:GNZ655452 GXV655451:GXV655452 HHR655451:HHR655452 HRN655451:HRN655452 IBJ655451:IBJ655452 ILF655451:ILF655452 IVB655451:IVB655452 JEX655451:JEX655452 JOT655451:JOT655452 JYP655451:JYP655452 KIL655451:KIL655452 KSH655451:KSH655452 LCD655451:LCD655452 LLZ655451:LLZ655452 LVV655451:LVV655452 MFR655451:MFR655452 MPN655451:MPN655452 MZJ655451:MZJ655452 NJF655451:NJF655452 NTB655451:NTB655452 OCX655451:OCX655452 OMT655451:OMT655452 OWP655451:OWP655452 PGL655451:PGL655452 PQH655451:PQH655452 QAD655451:QAD655452 QJZ655451:QJZ655452 QTV655451:QTV655452 RDR655451:RDR655452 RNN655451:RNN655452 RXJ655451:RXJ655452 SHF655451:SHF655452 SRB655451:SRB655452 TAX655451:TAX655452 TKT655451:TKT655452 TUP655451:TUP655452 UEL655451:UEL655452 UOH655451:UOH655452 UYD655451:UYD655452 VHZ655451:VHZ655452 VRV655451:VRV655452 WBR655451:WBR655452 WLN655451:WLN655452 WVJ655451:WVJ655452 B720987:B720988 IX720987:IX720988 ST720987:ST720988 ACP720987:ACP720988 AML720987:AML720988 AWH720987:AWH720988 BGD720987:BGD720988 BPZ720987:BPZ720988 BZV720987:BZV720988 CJR720987:CJR720988 CTN720987:CTN720988 DDJ720987:DDJ720988 DNF720987:DNF720988 DXB720987:DXB720988 EGX720987:EGX720988 EQT720987:EQT720988 FAP720987:FAP720988 FKL720987:FKL720988 FUH720987:FUH720988 GED720987:GED720988 GNZ720987:GNZ720988 GXV720987:GXV720988 HHR720987:HHR720988 HRN720987:HRN720988 IBJ720987:IBJ720988 ILF720987:ILF720988 IVB720987:IVB720988 JEX720987:JEX720988 JOT720987:JOT720988 JYP720987:JYP720988 KIL720987:KIL720988 KSH720987:KSH720988 LCD720987:LCD720988 LLZ720987:LLZ720988 LVV720987:LVV720988 MFR720987:MFR720988 MPN720987:MPN720988 MZJ720987:MZJ720988 NJF720987:NJF720988 NTB720987:NTB720988 OCX720987:OCX720988 OMT720987:OMT720988 OWP720987:OWP720988 PGL720987:PGL720988 PQH720987:PQH720988 QAD720987:QAD720988 QJZ720987:QJZ720988 QTV720987:QTV720988 RDR720987:RDR720988 RNN720987:RNN720988 RXJ720987:RXJ720988 SHF720987:SHF720988 SRB720987:SRB720988 TAX720987:TAX720988 TKT720987:TKT720988 TUP720987:TUP720988 UEL720987:UEL720988 UOH720987:UOH720988 UYD720987:UYD720988 VHZ720987:VHZ720988 VRV720987:VRV720988 WBR720987:WBR720988 WLN720987:WLN720988 WVJ720987:WVJ720988 B786523:B786524 IX786523:IX786524 ST786523:ST786524 ACP786523:ACP786524 AML786523:AML786524 AWH786523:AWH786524 BGD786523:BGD786524 BPZ786523:BPZ786524 BZV786523:BZV786524 CJR786523:CJR786524 CTN786523:CTN786524 DDJ786523:DDJ786524 DNF786523:DNF786524 DXB786523:DXB786524 EGX786523:EGX786524 EQT786523:EQT786524 FAP786523:FAP786524 FKL786523:FKL786524 FUH786523:FUH786524 GED786523:GED786524 GNZ786523:GNZ786524 GXV786523:GXV786524 HHR786523:HHR786524 HRN786523:HRN786524 IBJ786523:IBJ786524 ILF786523:ILF786524 IVB786523:IVB786524 JEX786523:JEX786524 JOT786523:JOT786524 JYP786523:JYP786524 KIL786523:KIL786524 KSH786523:KSH786524 LCD786523:LCD786524 LLZ786523:LLZ786524 LVV786523:LVV786524 MFR786523:MFR786524 MPN786523:MPN786524 MZJ786523:MZJ786524 NJF786523:NJF786524 NTB786523:NTB786524 OCX786523:OCX786524 OMT786523:OMT786524 OWP786523:OWP786524 PGL786523:PGL786524 PQH786523:PQH786524 QAD786523:QAD786524 QJZ786523:QJZ786524 QTV786523:QTV786524 RDR786523:RDR786524 RNN786523:RNN786524 RXJ786523:RXJ786524 SHF786523:SHF786524 SRB786523:SRB786524 TAX786523:TAX786524 TKT786523:TKT786524 TUP786523:TUP786524 UEL786523:UEL786524 UOH786523:UOH786524 UYD786523:UYD786524 VHZ786523:VHZ786524 VRV786523:VRV786524 WBR786523:WBR786524 WLN786523:WLN786524 WVJ786523:WVJ786524 B852059:B852060 IX852059:IX852060 ST852059:ST852060 ACP852059:ACP852060 AML852059:AML852060 AWH852059:AWH852060 BGD852059:BGD852060 BPZ852059:BPZ852060 BZV852059:BZV852060 CJR852059:CJR852060 CTN852059:CTN852060 DDJ852059:DDJ852060 DNF852059:DNF852060 DXB852059:DXB852060 EGX852059:EGX852060 EQT852059:EQT852060 FAP852059:FAP852060 FKL852059:FKL852060 FUH852059:FUH852060 GED852059:GED852060 GNZ852059:GNZ852060 GXV852059:GXV852060 HHR852059:HHR852060 HRN852059:HRN852060 IBJ852059:IBJ852060 ILF852059:ILF852060 IVB852059:IVB852060 JEX852059:JEX852060 JOT852059:JOT852060 JYP852059:JYP852060 KIL852059:KIL852060 KSH852059:KSH852060 LCD852059:LCD852060 LLZ852059:LLZ852060 LVV852059:LVV852060 MFR852059:MFR852060 MPN852059:MPN852060 MZJ852059:MZJ852060 NJF852059:NJF852060 NTB852059:NTB852060 OCX852059:OCX852060 OMT852059:OMT852060 OWP852059:OWP852060 PGL852059:PGL852060 PQH852059:PQH852060 QAD852059:QAD852060 QJZ852059:QJZ852060 QTV852059:QTV852060 RDR852059:RDR852060 RNN852059:RNN852060 RXJ852059:RXJ852060 SHF852059:SHF852060 SRB852059:SRB852060 TAX852059:TAX852060 TKT852059:TKT852060 TUP852059:TUP852060 UEL852059:UEL852060 UOH852059:UOH852060 UYD852059:UYD852060 VHZ852059:VHZ852060 VRV852059:VRV852060 WBR852059:WBR852060 WLN852059:WLN852060 WVJ852059:WVJ852060 B917595:B917596 IX917595:IX917596 ST917595:ST917596 ACP917595:ACP917596 AML917595:AML917596 AWH917595:AWH917596 BGD917595:BGD917596 BPZ917595:BPZ917596 BZV917595:BZV917596 CJR917595:CJR917596 CTN917595:CTN917596 DDJ917595:DDJ917596 DNF917595:DNF917596 DXB917595:DXB917596 EGX917595:EGX917596 EQT917595:EQT917596 FAP917595:FAP917596 FKL917595:FKL917596 FUH917595:FUH917596 GED917595:GED917596 GNZ917595:GNZ917596 GXV917595:GXV917596 HHR917595:HHR917596 HRN917595:HRN917596 IBJ917595:IBJ917596 ILF917595:ILF917596 IVB917595:IVB917596 JEX917595:JEX917596 JOT917595:JOT917596 JYP917595:JYP917596 KIL917595:KIL917596 KSH917595:KSH917596 LCD917595:LCD917596 LLZ917595:LLZ917596 LVV917595:LVV917596 MFR917595:MFR917596 MPN917595:MPN917596 MZJ917595:MZJ917596 NJF917595:NJF917596 NTB917595:NTB917596 OCX917595:OCX917596 OMT917595:OMT917596 OWP917595:OWP917596 PGL917595:PGL917596 PQH917595:PQH917596 QAD917595:QAD917596 QJZ917595:QJZ917596 QTV917595:QTV917596 RDR917595:RDR917596 RNN917595:RNN917596 RXJ917595:RXJ917596 SHF917595:SHF917596 SRB917595:SRB917596 TAX917595:TAX917596 TKT917595:TKT917596 TUP917595:TUP917596 UEL917595:UEL917596 UOH917595:UOH917596 UYD917595:UYD917596 VHZ917595:VHZ917596 VRV917595:VRV917596 WBR917595:WBR917596 WLN917595:WLN917596 WVJ917595:WVJ917596 B983131:B983132 IX983131:IX983132 ST983131:ST983132 ACP983131:ACP983132 AML983131:AML983132 AWH983131:AWH983132 BGD983131:BGD983132 BPZ983131:BPZ983132 BZV983131:BZV983132 CJR983131:CJR983132 CTN983131:CTN983132 DDJ983131:DDJ983132 DNF983131:DNF983132 DXB983131:DXB983132 EGX983131:EGX983132 EQT983131:EQT983132 FAP983131:FAP983132 FKL983131:FKL983132 FUH983131:FUH983132 GED983131:GED983132 GNZ983131:GNZ983132 GXV983131:GXV983132 HHR983131:HHR983132 HRN983131:HRN983132 IBJ983131:IBJ983132 ILF983131:ILF983132 IVB983131:IVB983132 JEX983131:JEX983132 JOT983131:JOT983132 JYP983131:JYP983132 KIL983131:KIL983132 KSH983131:KSH983132 LCD983131:LCD983132 LLZ983131:LLZ983132 LVV983131:LVV983132 MFR983131:MFR983132 MPN983131:MPN983132 MZJ983131:MZJ983132 NJF983131:NJF983132 NTB983131:NTB983132 OCX983131:OCX983132 OMT983131:OMT983132 OWP983131:OWP983132 PGL983131:PGL983132 PQH983131:PQH983132 QAD983131:QAD983132 QJZ983131:QJZ983132 QTV983131:QTV983132 RDR983131:RDR983132 RNN983131:RNN983132 RXJ983131:RXJ983132 SHF983131:SHF983132 SRB983131:SRB983132 TAX983131:TAX983132 TKT983131:TKT983132 TUP983131:TUP983132 UEL983131:UEL983132 UOH983131:UOH983132 UYD983131:UYD983132 VHZ983131:VHZ983132 VRV983131:VRV983132 WBR983131:WBR983132 WLN983131:WLN983132 WVJ983131:WVJ983132 B29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B65498 IX65498 ST65498 ACP65498 AML65498 AWH65498 BGD65498 BPZ65498 BZV65498 CJR65498 CTN65498 DDJ65498 DNF65498 DXB65498 EGX65498 EQT65498 FAP65498 FKL65498 FUH65498 GED65498 GNZ65498 GXV65498 HHR65498 HRN65498 IBJ65498 ILF65498 IVB65498 JEX65498 JOT65498 JYP65498 KIL65498 KSH65498 LCD65498 LLZ65498 LVV65498 MFR65498 MPN65498 MZJ65498 NJF65498 NTB65498 OCX65498 OMT65498 OWP65498 PGL65498 PQH65498 QAD65498 QJZ65498 QTV65498 RDR65498 RNN65498 RXJ65498 SHF65498 SRB65498 TAX65498 TKT65498 TUP65498 UEL65498 UOH65498 UYD65498 VHZ65498 VRV65498 WBR65498 WLN65498 WVJ65498 B131034 IX131034 ST131034 ACP131034 AML131034 AWH131034 BGD131034 BPZ131034 BZV131034 CJR131034 CTN131034 DDJ131034 DNF131034 DXB131034 EGX131034 EQT131034 FAP131034 FKL131034 FUH131034 GED131034 GNZ131034 GXV131034 HHR131034 HRN131034 IBJ131034 ILF131034 IVB131034 JEX131034 JOT131034 JYP131034 KIL131034 KSH131034 LCD131034 LLZ131034 LVV131034 MFR131034 MPN131034 MZJ131034 NJF131034 NTB131034 OCX131034 OMT131034 OWP131034 PGL131034 PQH131034 QAD131034 QJZ131034 QTV131034 RDR131034 RNN131034 RXJ131034 SHF131034 SRB131034 TAX131034 TKT131034 TUP131034 UEL131034 UOH131034 UYD131034 VHZ131034 VRV131034 WBR131034 WLN131034 WVJ131034 B196570 IX196570 ST196570 ACP196570 AML196570 AWH196570 BGD196570 BPZ196570 BZV196570 CJR196570 CTN196570 DDJ196570 DNF196570 DXB196570 EGX196570 EQT196570 FAP196570 FKL196570 FUH196570 GED196570 GNZ196570 GXV196570 HHR196570 HRN196570 IBJ196570 ILF196570 IVB196570 JEX196570 JOT196570 JYP196570 KIL196570 KSH196570 LCD196570 LLZ196570 LVV196570 MFR196570 MPN196570 MZJ196570 NJF196570 NTB196570 OCX196570 OMT196570 OWP196570 PGL196570 PQH196570 QAD196570 QJZ196570 QTV196570 RDR196570 RNN196570 RXJ196570 SHF196570 SRB196570 TAX196570 TKT196570 TUP196570 UEL196570 UOH196570 UYD196570 VHZ196570 VRV196570 WBR196570 WLN196570 WVJ196570 B262106 IX262106 ST262106 ACP262106 AML262106 AWH262106 BGD262106 BPZ262106 BZV262106 CJR262106 CTN262106 DDJ262106 DNF262106 DXB262106 EGX262106 EQT262106 FAP262106 FKL262106 FUH262106 GED262106 GNZ262106 GXV262106 HHR262106 HRN262106 IBJ262106 ILF262106 IVB262106 JEX262106 JOT262106 JYP262106 KIL262106 KSH262106 LCD262106 LLZ262106 LVV262106 MFR262106 MPN262106 MZJ262106 NJF262106 NTB262106 OCX262106 OMT262106 OWP262106 PGL262106 PQH262106 QAD262106 QJZ262106 QTV262106 RDR262106 RNN262106 RXJ262106 SHF262106 SRB262106 TAX262106 TKT262106 TUP262106 UEL262106 UOH262106 UYD262106 VHZ262106 VRV262106 WBR262106 WLN262106 WVJ262106 B327642 IX327642 ST327642 ACP327642 AML327642 AWH327642 BGD327642 BPZ327642 BZV327642 CJR327642 CTN327642 DDJ327642 DNF327642 DXB327642 EGX327642 EQT327642 FAP327642 FKL327642 FUH327642 GED327642 GNZ327642 GXV327642 HHR327642 HRN327642 IBJ327642 ILF327642 IVB327642 JEX327642 JOT327642 JYP327642 KIL327642 KSH327642 LCD327642 LLZ327642 LVV327642 MFR327642 MPN327642 MZJ327642 NJF327642 NTB327642 OCX327642 OMT327642 OWP327642 PGL327642 PQH327642 QAD327642 QJZ327642 QTV327642 RDR327642 RNN327642 RXJ327642 SHF327642 SRB327642 TAX327642 TKT327642 TUP327642 UEL327642 UOH327642 UYD327642 VHZ327642 VRV327642 WBR327642 WLN327642 WVJ327642 B393178 IX393178 ST393178 ACP393178 AML393178 AWH393178 BGD393178 BPZ393178 BZV393178 CJR393178 CTN393178 DDJ393178 DNF393178 DXB393178 EGX393178 EQT393178 FAP393178 FKL393178 FUH393178 GED393178 GNZ393178 GXV393178 HHR393178 HRN393178 IBJ393178 ILF393178 IVB393178 JEX393178 JOT393178 JYP393178 KIL393178 KSH393178 LCD393178 LLZ393178 LVV393178 MFR393178 MPN393178 MZJ393178 NJF393178 NTB393178 OCX393178 OMT393178 OWP393178 PGL393178 PQH393178 QAD393178 QJZ393178 QTV393178 RDR393178 RNN393178 RXJ393178 SHF393178 SRB393178 TAX393178 TKT393178 TUP393178 UEL393178 UOH393178 UYD393178 VHZ393178 VRV393178 WBR393178 WLN393178 WVJ393178 B458714 IX458714 ST458714 ACP458714 AML458714 AWH458714 BGD458714 BPZ458714 BZV458714 CJR458714 CTN458714 DDJ458714 DNF458714 DXB458714 EGX458714 EQT458714 FAP458714 FKL458714 FUH458714 GED458714 GNZ458714 GXV458714 HHR458714 HRN458714 IBJ458714 ILF458714 IVB458714 JEX458714 JOT458714 JYP458714 KIL458714 KSH458714 LCD458714 LLZ458714 LVV458714 MFR458714 MPN458714 MZJ458714 NJF458714 NTB458714 OCX458714 OMT458714 OWP458714 PGL458714 PQH458714 QAD458714 QJZ458714 QTV458714 RDR458714 RNN458714 RXJ458714 SHF458714 SRB458714 TAX458714 TKT458714 TUP458714 UEL458714 UOH458714 UYD458714 VHZ458714 VRV458714 WBR458714 WLN458714 WVJ458714 B524250 IX524250 ST524250 ACP524250 AML524250 AWH524250 BGD524250 BPZ524250 BZV524250 CJR524250 CTN524250 DDJ524250 DNF524250 DXB524250 EGX524250 EQT524250 FAP524250 FKL524250 FUH524250 GED524250 GNZ524250 GXV524250 HHR524250 HRN524250 IBJ524250 ILF524250 IVB524250 JEX524250 JOT524250 JYP524250 KIL524250 KSH524250 LCD524250 LLZ524250 LVV524250 MFR524250 MPN524250 MZJ524250 NJF524250 NTB524250 OCX524250 OMT524250 OWP524250 PGL524250 PQH524250 QAD524250 QJZ524250 QTV524250 RDR524250 RNN524250 RXJ524250 SHF524250 SRB524250 TAX524250 TKT524250 TUP524250 UEL524250 UOH524250 UYD524250 VHZ524250 VRV524250 WBR524250 WLN524250 WVJ524250 B589786 IX589786 ST589786 ACP589786 AML589786 AWH589786 BGD589786 BPZ589786 BZV589786 CJR589786 CTN589786 DDJ589786 DNF589786 DXB589786 EGX589786 EQT589786 FAP589786 FKL589786 FUH589786 GED589786 GNZ589786 GXV589786 HHR589786 HRN589786 IBJ589786 ILF589786 IVB589786 JEX589786 JOT589786 JYP589786 KIL589786 KSH589786 LCD589786 LLZ589786 LVV589786 MFR589786 MPN589786 MZJ589786 NJF589786 NTB589786 OCX589786 OMT589786 OWP589786 PGL589786 PQH589786 QAD589786 QJZ589786 QTV589786 RDR589786 RNN589786 RXJ589786 SHF589786 SRB589786 TAX589786 TKT589786 TUP589786 UEL589786 UOH589786 UYD589786 VHZ589786 VRV589786 WBR589786 WLN589786 WVJ589786 B655322 IX655322 ST655322 ACP655322 AML655322 AWH655322 BGD655322 BPZ655322 BZV655322 CJR655322 CTN655322 DDJ655322 DNF655322 DXB655322 EGX655322 EQT655322 FAP655322 FKL655322 FUH655322 GED655322 GNZ655322 GXV655322 HHR655322 HRN655322 IBJ655322 ILF655322 IVB655322 JEX655322 JOT655322 JYP655322 KIL655322 KSH655322 LCD655322 LLZ655322 LVV655322 MFR655322 MPN655322 MZJ655322 NJF655322 NTB655322 OCX655322 OMT655322 OWP655322 PGL655322 PQH655322 QAD655322 QJZ655322 QTV655322 RDR655322 RNN655322 RXJ655322 SHF655322 SRB655322 TAX655322 TKT655322 TUP655322 UEL655322 UOH655322 UYD655322 VHZ655322 VRV655322 WBR655322 WLN655322 WVJ655322 B720858 IX720858 ST720858 ACP720858 AML720858 AWH720858 BGD720858 BPZ720858 BZV720858 CJR720858 CTN720858 DDJ720858 DNF720858 DXB720858 EGX720858 EQT720858 FAP720858 FKL720858 FUH720858 GED720858 GNZ720858 GXV720858 HHR720858 HRN720858 IBJ720858 ILF720858 IVB720858 JEX720858 JOT720858 JYP720858 KIL720858 KSH720858 LCD720858 LLZ720858 LVV720858 MFR720858 MPN720858 MZJ720858 NJF720858 NTB720858 OCX720858 OMT720858 OWP720858 PGL720858 PQH720858 QAD720858 QJZ720858 QTV720858 RDR720858 RNN720858 RXJ720858 SHF720858 SRB720858 TAX720858 TKT720858 TUP720858 UEL720858 UOH720858 UYD720858 VHZ720858 VRV720858 WBR720858 WLN720858 WVJ720858 B786394 IX786394 ST786394 ACP786394 AML786394 AWH786394 BGD786394 BPZ786394 BZV786394 CJR786394 CTN786394 DDJ786394 DNF786394 DXB786394 EGX786394 EQT786394 FAP786394 FKL786394 FUH786394 GED786394 GNZ786394 GXV786394 HHR786394 HRN786394 IBJ786394 ILF786394 IVB786394 JEX786394 JOT786394 JYP786394 KIL786394 KSH786394 LCD786394 LLZ786394 LVV786394 MFR786394 MPN786394 MZJ786394 NJF786394 NTB786394 OCX786394 OMT786394 OWP786394 PGL786394 PQH786394 QAD786394 QJZ786394 QTV786394 RDR786394 RNN786394 RXJ786394 SHF786394 SRB786394 TAX786394 TKT786394 TUP786394 UEL786394 UOH786394 UYD786394 VHZ786394 VRV786394 WBR786394 WLN786394 WVJ786394 B851930 IX851930 ST851930 ACP851930 AML851930 AWH851930 BGD851930 BPZ851930 BZV851930 CJR851930 CTN851930 DDJ851930 DNF851930 DXB851930 EGX851930 EQT851930 FAP851930 FKL851930 FUH851930 GED851930 GNZ851930 GXV851930 HHR851930 HRN851930 IBJ851930 ILF851930 IVB851930 JEX851930 JOT851930 JYP851930 KIL851930 KSH851930 LCD851930 LLZ851930 LVV851930 MFR851930 MPN851930 MZJ851930 NJF851930 NTB851930 OCX851930 OMT851930 OWP851930 PGL851930 PQH851930 QAD851930 QJZ851930 QTV851930 RDR851930 RNN851930 RXJ851930 SHF851930 SRB851930 TAX851930 TKT851930 TUP851930 UEL851930 UOH851930 UYD851930 VHZ851930 VRV851930 WBR851930 WLN851930 WVJ851930 B917466 IX917466 ST917466 ACP917466 AML917466 AWH917466 BGD917466 BPZ917466 BZV917466 CJR917466 CTN917466 DDJ917466 DNF917466 DXB917466 EGX917466 EQT917466 FAP917466 FKL917466 FUH917466 GED917466 GNZ917466 GXV917466 HHR917466 HRN917466 IBJ917466 ILF917466 IVB917466 JEX917466 JOT917466 JYP917466 KIL917466 KSH917466 LCD917466 LLZ917466 LVV917466 MFR917466 MPN917466 MZJ917466 NJF917466 NTB917466 OCX917466 OMT917466 OWP917466 PGL917466 PQH917466 QAD917466 QJZ917466 QTV917466 RDR917466 RNN917466 RXJ917466 SHF917466 SRB917466 TAX917466 TKT917466 TUP917466 UEL917466 UOH917466 UYD917466 VHZ917466 VRV917466 WBR917466 WLN917466 WVJ917466 B983002 IX983002 ST983002 ACP983002 AML983002 AWH983002 BGD983002 BPZ983002 BZV983002 CJR983002 CTN983002 DDJ983002 DNF983002 DXB983002 EGX983002 EQT983002 FAP983002 FKL983002 FUH983002 GED983002 GNZ983002 GXV983002 HHR983002 HRN983002 IBJ983002 ILF983002 IVB983002 JEX983002 JOT983002 JYP983002 KIL983002 KSH983002 LCD983002 LLZ983002 LVV983002 MFR983002 MPN983002 MZJ983002 NJF983002 NTB983002 OCX983002 OMT983002 OWP983002 PGL983002 PQH983002 QAD983002 QJZ983002 QTV983002 RDR983002 RNN983002 RXJ983002 SHF983002 SRB983002 TAX983002 TKT983002 TUP983002 UEL983002 UOH983002 UYD983002 VHZ983002 VRV983002 WBR983002 WLN983002 WVJ983002 B51:B58 IX51:IX58 ST51:ST58 ACP51:ACP58 AML51:AML58 AWH51:AWH58 BGD51:BGD58 BPZ51:BPZ58 BZV51:BZV58 CJR51:CJR58 CTN51:CTN58 DDJ51:DDJ58 DNF51:DNF58 DXB51:DXB58 EGX51:EGX58 EQT51:EQT58 FAP51:FAP58 FKL51:FKL58 FUH51:FUH58 GED51:GED58 GNZ51:GNZ58 GXV51:GXV58 HHR51:HHR58 HRN51:HRN58 IBJ51:IBJ58 ILF51:ILF58 IVB51:IVB58 JEX51:JEX58 JOT51:JOT58 JYP51:JYP58 KIL51:KIL58 KSH51:KSH58 LCD51:LCD58 LLZ51:LLZ58 LVV51:LVV58 MFR51:MFR58 MPN51:MPN58 MZJ51:MZJ58 NJF51:NJF58 NTB51:NTB58 OCX51:OCX58 OMT51:OMT58 OWP51:OWP58 PGL51:PGL58 PQH51:PQH58 QAD51:QAD58 QJZ51:QJZ58 QTV51:QTV58 RDR51:RDR58 RNN51:RNN58 RXJ51:RXJ58 SHF51:SHF58 SRB51:SRB58 TAX51:TAX58 TKT51:TKT58 TUP51:TUP58 UEL51:UEL58 UOH51:UOH58 UYD51:UYD58 VHZ51:VHZ58 VRV51:VRV58 WBR51:WBR58 WLN51:WLN58 WVJ51:WVJ58 B65539:B65545 IX65539:IX65545 ST65539:ST65545 ACP65539:ACP65545 AML65539:AML65545 AWH65539:AWH65545 BGD65539:BGD65545 BPZ65539:BPZ65545 BZV65539:BZV65545 CJR65539:CJR65545 CTN65539:CTN65545 DDJ65539:DDJ65545 DNF65539:DNF65545 DXB65539:DXB65545 EGX65539:EGX65545 EQT65539:EQT65545 FAP65539:FAP65545 FKL65539:FKL65545 FUH65539:FUH65545 GED65539:GED65545 GNZ65539:GNZ65545 GXV65539:GXV65545 HHR65539:HHR65545 HRN65539:HRN65545 IBJ65539:IBJ65545 ILF65539:ILF65545 IVB65539:IVB65545 JEX65539:JEX65545 JOT65539:JOT65545 JYP65539:JYP65545 KIL65539:KIL65545 KSH65539:KSH65545 LCD65539:LCD65545 LLZ65539:LLZ65545 LVV65539:LVV65545 MFR65539:MFR65545 MPN65539:MPN65545 MZJ65539:MZJ65545 NJF65539:NJF65545 NTB65539:NTB65545 OCX65539:OCX65545 OMT65539:OMT65545 OWP65539:OWP65545 PGL65539:PGL65545 PQH65539:PQH65545 QAD65539:QAD65545 QJZ65539:QJZ65545 QTV65539:QTV65545 RDR65539:RDR65545 RNN65539:RNN65545 RXJ65539:RXJ65545 SHF65539:SHF65545 SRB65539:SRB65545 TAX65539:TAX65545 TKT65539:TKT65545 TUP65539:TUP65545 UEL65539:UEL65545 UOH65539:UOH65545 UYD65539:UYD65545 VHZ65539:VHZ65545 VRV65539:VRV65545 WBR65539:WBR65545 WLN65539:WLN65545 WVJ65539:WVJ65545 B131075:B131081 IX131075:IX131081 ST131075:ST131081 ACP131075:ACP131081 AML131075:AML131081 AWH131075:AWH131081 BGD131075:BGD131081 BPZ131075:BPZ131081 BZV131075:BZV131081 CJR131075:CJR131081 CTN131075:CTN131081 DDJ131075:DDJ131081 DNF131075:DNF131081 DXB131075:DXB131081 EGX131075:EGX131081 EQT131075:EQT131081 FAP131075:FAP131081 FKL131075:FKL131081 FUH131075:FUH131081 GED131075:GED131081 GNZ131075:GNZ131081 GXV131075:GXV131081 HHR131075:HHR131081 HRN131075:HRN131081 IBJ131075:IBJ131081 ILF131075:ILF131081 IVB131075:IVB131081 JEX131075:JEX131081 JOT131075:JOT131081 JYP131075:JYP131081 KIL131075:KIL131081 KSH131075:KSH131081 LCD131075:LCD131081 LLZ131075:LLZ131081 LVV131075:LVV131081 MFR131075:MFR131081 MPN131075:MPN131081 MZJ131075:MZJ131081 NJF131075:NJF131081 NTB131075:NTB131081 OCX131075:OCX131081 OMT131075:OMT131081 OWP131075:OWP131081 PGL131075:PGL131081 PQH131075:PQH131081 QAD131075:QAD131081 QJZ131075:QJZ131081 QTV131075:QTV131081 RDR131075:RDR131081 RNN131075:RNN131081 RXJ131075:RXJ131081 SHF131075:SHF131081 SRB131075:SRB131081 TAX131075:TAX131081 TKT131075:TKT131081 TUP131075:TUP131081 UEL131075:UEL131081 UOH131075:UOH131081 UYD131075:UYD131081 VHZ131075:VHZ131081 VRV131075:VRV131081 WBR131075:WBR131081 WLN131075:WLN131081 WVJ131075:WVJ131081 B196611:B196617 IX196611:IX196617 ST196611:ST196617 ACP196611:ACP196617 AML196611:AML196617 AWH196611:AWH196617 BGD196611:BGD196617 BPZ196611:BPZ196617 BZV196611:BZV196617 CJR196611:CJR196617 CTN196611:CTN196617 DDJ196611:DDJ196617 DNF196611:DNF196617 DXB196611:DXB196617 EGX196611:EGX196617 EQT196611:EQT196617 FAP196611:FAP196617 FKL196611:FKL196617 FUH196611:FUH196617 GED196611:GED196617 GNZ196611:GNZ196617 GXV196611:GXV196617 HHR196611:HHR196617 HRN196611:HRN196617 IBJ196611:IBJ196617 ILF196611:ILF196617 IVB196611:IVB196617 JEX196611:JEX196617 JOT196611:JOT196617 JYP196611:JYP196617 KIL196611:KIL196617 KSH196611:KSH196617 LCD196611:LCD196617 LLZ196611:LLZ196617 LVV196611:LVV196617 MFR196611:MFR196617 MPN196611:MPN196617 MZJ196611:MZJ196617 NJF196611:NJF196617 NTB196611:NTB196617 OCX196611:OCX196617 OMT196611:OMT196617 OWP196611:OWP196617 PGL196611:PGL196617 PQH196611:PQH196617 QAD196611:QAD196617 QJZ196611:QJZ196617 QTV196611:QTV196617 RDR196611:RDR196617 RNN196611:RNN196617 RXJ196611:RXJ196617 SHF196611:SHF196617 SRB196611:SRB196617 TAX196611:TAX196617 TKT196611:TKT196617 TUP196611:TUP196617 UEL196611:UEL196617 UOH196611:UOH196617 UYD196611:UYD196617 VHZ196611:VHZ196617 VRV196611:VRV196617 WBR196611:WBR196617 WLN196611:WLN196617 WVJ196611:WVJ196617 B262147:B262153 IX262147:IX262153 ST262147:ST262153 ACP262147:ACP262153 AML262147:AML262153 AWH262147:AWH262153 BGD262147:BGD262153 BPZ262147:BPZ262153 BZV262147:BZV262153 CJR262147:CJR262153 CTN262147:CTN262153 DDJ262147:DDJ262153 DNF262147:DNF262153 DXB262147:DXB262153 EGX262147:EGX262153 EQT262147:EQT262153 FAP262147:FAP262153 FKL262147:FKL262153 FUH262147:FUH262153 GED262147:GED262153 GNZ262147:GNZ262153 GXV262147:GXV262153 HHR262147:HHR262153 HRN262147:HRN262153 IBJ262147:IBJ262153 ILF262147:ILF262153 IVB262147:IVB262153 JEX262147:JEX262153 JOT262147:JOT262153 JYP262147:JYP262153 KIL262147:KIL262153 KSH262147:KSH262153 LCD262147:LCD262153 LLZ262147:LLZ262153 LVV262147:LVV262153 MFR262147:MFR262153 MPN262147:MPN262153 MZJ262147:MZJ262153 NJF262147:NJF262153 NTB262147:NTB262153 OCX262147:OCX262153 OMT262147:OMT262153 OWP262147:OWP262153 PGL262147:PGL262153 PQH262147:PQH262153 QAD262147:QAD262153 QJZ262147:QJZ262153 QTV262147:QTV262153 RDR262147:RDR262153 RNN262147:RNN262153 RXJ262147:RXJ262153 SHF262147:SHF262153 SRB262147:SRB262153 TAX262147:TAX262153 TKT262147:TKT262153 TUP262147:TUP262153 UEL262147:UEL262153 UOH262147:UOH262153 UYD262147:UYD262153 VHZ262147:VHZ262153 VRV262147:VRV262153 WBR262147:WBR262153 WLN262147:WLN262153 WVJ262147:WVJ262153 B327683:B327689 IX327683:IX327689 ST327683:ST327689 ACP327683:ACP327689 AML327683:AML327689 AWH327683:AWH327689 BGD327683:BGD327689 BPZ327683:BPZ327689 BZV327683:BZV327689 CJR327683:CJR327689 CTN327683:CTN327689 DDJ327683:DDJ327689 DNF327683:DNF327689 DXB327683:DXB327689 EGX327683:EGX327689 EQT327683:EQT327689 FAP327683:FAP327689 FKL327683:FKL327689 FUH327683:FUH327689 GED327683:GED327689 GNZ327683:GNZ327689 GXV327683:GXV327689 HHR327683:HHR327689 HRN327683:HRN327689 IBJ327683:IBJ327689 ILF327683:ILF327689 IVB327683:IVB327689 JEX327683:JEX327689 JOT327683:JOT327689 JYP327683:JYP327689 KIL327683:KIL327689 KSH327683:KSH327689 LCD327683:LCD327689 LLZ327683:LLZ327689 LVV327683:LVV327689 MFR327683:MFR327689 MPN327683:MPN327689 MZJ327683:MZJ327689 NJF327683:NJF327689 NTB327683:NTB327689 OCX327683:OCX327689 OMT327683:OMT327689 OWP327683:OWP327689 PGL327683:PGL327689 PQH327683:PQH327689 QAD327683:QAD327689 QJZ327683:QJZ327689 QTV327683:QTV327689 RDR327683:RDR327689 RNN327683:RNN327689 RXJ327683:RXJ327689 SHF327683:SHF327689 SRB327683:SRB327689 TAX327683:TAX327689 TKT327683:TKT327689 TUP327683:TUP327689 UEL327683:UEL327689 UOH327683:UOH327689 UYD327683:UYD327689 VHZ327683:VHZ327689 VRV327683:VRV327689 WBR327683:WBR327689 WLN327683:WLN327689 WVJ327683:WVJ327689 B393219:B393225 IX393219:IX393225 ST393219:ST393225 ACP393219:ACP393225 AML393219:AML393225 AWH393219:AWH393225 BGD393219:BGD393225 BPZ393219:BPZ393225 BZV393219:BZV393225 CJR393219:CJR393225 CTN393219:CTN393225 DDJ393219:DDJ393225 DNF393219:DNF393225 DXB393219:DXB393225 EGX393219:EGX393225 EQT393219:EQT393225 FAP393219:FAP393225 FKL393219:FKL393225 FUH393219:FUH393225 GED393219:GED393225 GNZ393219:GNZ393225 GXV393219:GXV393225 HHR393219:HHR393225 HRN393219:HRN393225 IBJ393219:IBJ393225 ILF393219:ILF393225 IVB393219:IVB393225 JEX393219:JEX393225 JOT393219:JOT393225 JYP393219:JYP393225 KIL393219:KIL393225 KSH393219:KSH393225 LCD393219:LCD393225 LLZ393219:LLZ393225 LVV393219:LVV393225 MFR393219:MFR393225 MPN393219:MPN393225 MZJ393219:MZJ393225 NJF393219:NJF393225 NTB393219:NTB393225 OCX393219:OCX393225 OMT393219:OMT393225 OWP393219:OWP393225 PGL393219:PGL393225 PQH393219:PQH393225 QAD393219:QAD393225 QJZ393219:QJZ393225 QTV393219:QTV393225 RDR393219:RDR393225 RNN393219:RNN393225 RXJ393219:RXJ393225 SHF393219:SHF393225 SRB393219:SRB393225 TAX393219:TAX393225 TKT393219:TKT393225 TUP393219:TUP393225 UEL393219:UEL393225 UOH393219:UOH393225 UYD393219:UYD393225 VHZ393219:VHZ393225 VRV393219:VRV393225 WBR393219:WBR393225 WLN393219:WLN393225 WVJ393219:WVJ393225 B458755:B458761 IX458755:IX458761 ST458755:ST458761 ACP458755:ACP458761 AML458755:AML458761 AWH458755:AWH458761 BGD458755:BGD458761 BPZ458755:BPZ458761 BZV458755:BZV458761 CJR458755:CJR458761 CTN458755:CTN458761 DDJ458755:DDJ458761 DNF458755:DNF458761 DXB458755:DXB458761 EGX458755:EGX458761 EQT458755:EQT458761 FAP458755:FAP458761 FKL458755:FKL458761 FUH458755:FUH458761 GED458755:GED458761 GNZ458755:GNZ458761 GXV458755:GXV458761 HHR458755:HHR458761 HRN458755:HRN458761 IBJ458755:IBJ458761 ILF458755:ILF458761 IVB458755:IVB458761 JEX458755:JEX458761 JOT458755:JOT458761 JYP458755:JYP458761 KIL458755:KIL458761 KSH458755:KSH458761 LCD458755:LCD458761 LLZ458755:LLZ458761 LVV458755:LVV458761 MFR458755:MFR458761 MPN458755:MPN458761 MZJ458755:MZJ458761 NJF458755:NJF458761 NTB458755:NTB458761 OCX458755:OCX458761 OMT458755:OMT458761 OWP458755:OWP458761 PGL458755:PGL458761 PQH458755:PQH458761 QAD458755:QAD458761 QJZ458755:QJZ458761 QTV458755:QTV458761 RDR458755:RDR458761 RNN458755:RNN458761 RXJ458755:RXJ458761 SHF458755:SHF458761 SRB458755:SRB458761 TAX458755:TAX458761 TKT458755:TKT458761 TUP458755:TUP458761 UEL458755:UEL458761 UOH458755:UOH458761 UYD458755:UYD458761 VHZ458755:VHZ458761 VRV458755:VRV458761 WBR458755:WBR458761 WLN458755:WLN458761 WVJ458755:WVJ458761 B524291:B524297 IX524291:IX524297 ST524291:ST524297 ACP524291:ACP524297 AML524291:AML524297 AWH524291:AWH524297 BGD524291:BGD524297 BPZ524291:BPZ524297 BZV524291:BZV524297 CJR524291:CJR524297 CTN524291:CTN524297 DDJ524291:DDJ524297 DNF524291:DNF524297 DXB524291:DXB524297 EGX524291:EGX524297 EQT524291:EQT524297 FAP524291:FAP524297 FKL524291:FKL524297 FUH524291:FUH524297 GED524291:GED524297 GNZ524291:GNZ524297 GXV524291:GXV524297 HHR524291:HHR524297 HRN524291:HRN524297 IBJ524291:IBJ524297 ILF524291:ILF524297 IVB524291:IVB524297 JEX524291:JEX524297 JOT524291:JOT524297 JYP524291:JYP524297 KIL524291:KIL524297 KSH524291:KSH524297 LCD524291:LCD524297 LLZ524291:LLZ524297 LVV524291:LVV524297 MFR524291:MFR524297 MPN524291:MPN524297 MZJ524291:MZJ524297 NJF524291:NJF524297 NTB524291:NTB524297 OCX524291:OCX524297 OMT524291:OMT524297 OWP524291:OWP524297 PGL524291:PGL524297 PQH524291:PQH524297 QAD524291:QAD524297 QJZ524291:QJZ524297 QTV524291:QTV524297 RDR524291:RDR524297 RNN524291:RNN524297 RXJ524291:RXJ524297 SHF524291:SHF524297 SRB524291:SRB524297 TAX524291:TAX524297 TKT524291:TKT524297 TUP524291:TUP524297 UEL524291:UEL524297 UOH524291:UOH524297 UYD524291:UYD524297 VHZ524291:VHZ524297 VRV524291:VRV524297 WBR524291:WBR524297 WLN524291:WLN524297 WVJ524291:WVJ524297 B589827:B589833 IX589827:IX589833 ST589827:ST589833 ACP589827:ACP589833 AML589827:AML589833 AWH589827:AWH589833 BGD589827:BGD589833 BPZ589827:BPZ589833 BZV589827:BZV589833 CJR589827:CJR589833 CTN589827:CTN589833 DDJ589827:DDJ589833 DNF589827:DNF589833 DXB589827:DXB589833 EGX589827:EGX589833 EQT589827:EQT589833 FAP589827:FAP589833 FKL589827:FKL589833 FUH589827:FUH589833 GED589827:GED589833 GNZ589827:GNZ589833 GXV589827:GXV589833 HHR589827:HHR589833 HRN589827:HRN589833 IBJ589827:IBJ589833 ILF589827:ILF589833 IVB589827:IVB589833 JEX589827:JEX589833 JOT589827:JOT589833 JYP589827:JYP589833 KIL589827:KIL589833 KSH589827:KSH589833 LCD589827:LCD589833 LLZ589827:LLZ589833 LVV589827:LVV589833 MFR589827:MFR589833 MPN589827:MPN589833 MZJ589827:MZJ589833 NJF589827:NJF589833 NTB589827:NTB589833 OCX589827:OCX589833 OMT589827:OMT589833 OWP589827:OWP589833 PGL589827:PGL589833 PQH589827:PQH589833 QAD589827:QAD589833 QJZ589827:QJZ589833 QTV589827:QTV589833 RDR589827:RDR589833 RNN589827:RNN589833 RXJ589827:RXJ589833 SHF589827:SHF589833 SRB589827:SRB589833 TAX589827:TAX589833 TKT589827:TKT589833 TUP589827:TUP589833 UEL589827:UEL589833 UOH589827:UOH589833 UYD589827:UYD589833 VHZ589827:VHZ589833 VRV589827:VRV589833 WBR589827:WBR589833 WLN589827:WLN589833 WVJ589827:WVJ589833 B655363:B655369 IX655363:IX655369 ST655363:ST655369 ACP655363:ACP655369 AML655363:AML655369 AWH655363:AWH655369 BGD655363:BGD655369 BPZ655363:BPZ655369 BZV655363:BZV655369 CJR655363:CJR655369 CTN655363:CTN655369 DDJ655363:DDJ655369 DNF655363:DNF655369 DXB655363:DXB655369 EGX655363:EGX655369 EQT655363:EQT655369 FAP655363:FAP655369 FKL655363:FKL655369 FUH655363:FUH655369 GED655363:GED655369 GNZ655363:GNZ655369 GXV655363:GXV655369 HHR655363:HHR655369 HRN655363:HRN655369 IBJ655363:IBJ655369 ILF655363:ILF655369 IVB655363:IVB655369 JEX655363:JEX655369 JOT655363:JOT655369 JYP655363:JYP655369 KIL655363:KIL655369 KSH655363:KSH655369 LCD655363:LCD655369 LLZ655363:LLZ655369 LVV655363:LVV655369 MFR655363:MFR655369 MPN655363:MPN655369 MZJ655363:MZJ655369 NJF655363:NJF655369 NTB655363:NTB655369 OCX655363:OCX655369 OMT655363:OMT655369 OWP655363:OWP655369 PGL655363:PGL655369 PQH655363:PQH655369 QAD655363:QAD655369 QJZ655363:QJZ655369 QTV655363:QTV655369 RDR655363:RDR655369 RNN655363:RNN655369 RXJ655363:RXJ655369 SHF655363:SHF655369 SRB655363:SRB655369 TAX655363:TAX655369 TKT655363:TKT655369 TUP655363:TUP655369 UEL655363:UEL655369 UOH655363:UOH655369 UYD655363:UYD655369 VHZ655363:VHZ655369 VRV655363:VRV655369 WBR655363:WBR655369 WLN655363:WLN655369 WVJ655363:WVJ655369 B720899:B720905 IX720899:IX720905 ST720899:ST720905 ACP720899:ACP720905 AML720899:AML720905 AWH720899:AWH720905 BGD720899:BGD720905 BPZ720899:BPZ720905 BZV720899:BZV720905 CJR720899:CJR720905 CTN720899:CTN720905 DDJ720899:DDJ720905 DNF720899:DNF720905 DXB720899:DXB720905 EGX720899:EGX720905 EQT720899:EQT720905 FAP720899:FAP720905 FKL720899:FKL720905 FUH720899:FUH720905 GED720899:GED720905 GNZ720899:GNZ720905 GXV720899:GXV720905 HHR720899:HHR720905 HRN720899:HRN720905 IBJ720899:IBJ720905 ILF720899:ILF720905 IVB720899:IVB720905 JEX720899:JEX720905 JOT720899:JOT720905 JYP720899:JYP720905 KIL720899:KIL720905 KSH720899:KSH720905 LCD720899:LCD720905 LLZ720899:LLZ720905 LVV720899:LVV720905 MFR720899:MFR720905 MPN720899:MPN720905 MZJ720899:MZJ720905 NJF720899:NJF720905 NTB720899:NTB720905 OCX720899:OCX720905 OMT720899:OMT720905 OWP720899:OWP720905 PGL720899:PGL720905 PQH720899:PQH720905 QAD720899:QAD720905 QJZ720899:QJZ720905 QTV720899:QTV720905 RDR720899:RDR720905 RNN720899:RNN720905 RXJ720899:RXJ720905 SHF720899:SHF720905 SRB720899:SRB720905 TAX720899:TAX720905 TKT720899:TKT720905 TUP720899:TUP720905 UEL720899:UEL720905 UOH720899:UOH720905 UYD720899:UYD720905 VHZ720899:VHZ720905 VRV720899:VRV720905 WBR720899:WBR720905 WLN720899:WLN720905 WVJ720899:WVJ720905 B786435:B786441 IX786435:IX786441 ST786435:ST786441 ACP786435:ACP786441 AML786435:AML786441 AWH786435:AWH786441 BGD786435:BGD786441 BPZ786435:BPZ786441 BZV786435:BZV786441 CJR786435:CJR786441 CTN786435:CTN786441 DDJ786435:DDJ786441 DNF786435:DNF786441 DXB786435:DXB786441 EGX786435:EGX786441 EQT786435:EQT786441 FAP786435:FAP786441 FKL786435:FKL786441 FUH786435:FUH786441 GED786435:GED786441 GNZ786435:GNZ786441 GXV786435:GXV786441 HHR786435:HHR786441 HRN786435:HRN786441 IBJ786435:IBJ786441 ILF786435:ILF786441 IVB786435:IVB786441 JEX786435:JEX786441 JOT786435:JOT786441 JYP786435:JYP786441 KIL786435:KIL786441 KSH786435:KSH786441 LCD786435:LCD786441 LLZ786435:LLZ786441 LVV786435:LVV786441 MFR786435:MFR786441 MPN786435:MPN786441 MZJ786435:MZJ786441 NJF786435:NJF786441 NTB786435:NTB786441 OCX786435:OCX786441 OMT786435:OMT786441 OWP786435:OWP786441 PGL786435:PGL786441 PQH786435:PQH786441 QAD786435:QAD786441 QJZ786435:QJZ786441 QTV786435:QTV786441 RDR786435:RDR786441 RNN786435:RNN786441 RXJ786435:RXJ786441 SHF786435:SHF786441 SRB786435:SRB786441 TAX786435:TAX786441 TKT786435:TKT786441 TUP786435:TUP786441 UEL786435:UEL786441 UOH786435:UOH786441 UYD786435:UYD786441 VHZ786435:VHZ786441 VRV786435:VRV786441 WBR786435:WBR786441 WLN786435:WLN786441 WVJ786435:WVJ786441 B851971:B851977 IX851971:IX851977 ST851971:ST851977 ACP851971:ACP851977 AML851971:AML851977 AWH851971:AWH851977 BGD851971:BGD851977 BPZ851971:BPZ851977 BZV851971:BZV851977 CJR851971:CJR851977 CTN851971:CTN851977 DDJ851971:DDJ851977 DNF851971:DNF851977 DXB851971:DXB851977 EGX851971:EGX851977 EQT851971:EQT851977 FAP851971:FAP851977 FKL851971:FKL851977 FUH851971:FUH851977 GED851971:GED851977 GNZ851971:GNZ851977 GXV851971:GXV851977 HHR851971:HHR851977 HRN851971:HRN851977 IBJ851971:IBJ851977 ILF851971:ILF851977 IVB851971:IVB851977 JEX851971:JEX851977 JOT851971:JOT851977 JYP851971:JYP851977 KIL851971:KIL851977 KSH851971:KSH851977 LCD851971:LCD851977 LLZ851971:LLZ851977 LVV851971:LVV851977 MFR851971:MFR851977 MPN851971:MPN851977 MZJ851971:MZJ851977 NJF851971:NJF851977 NTB851971:NTB851977 OCX851971:OCX851977 OMT851971:OMT851977 OWP851971:OWP851977 PGL851971:PGL851977 PQH851971:PQH851977 QAD851971:QAD851977 QJZ851971:QJZ851977 QTV851971:QTV851977 RDR851971:RDR851977 RNN851971:RNN851977 RXJ851971:RXJ851977 SHF851971:SHF851977 SRB851971:SRB851977 TAX851971:TAX851977 TKT851971:TKT851977 TUP851971:TUP851977 UEL851971:UEL851977 UOH851971:UOH851977 UYD851971:UYD851977 VHZ851971:VHZ851977 VRV851971:VRV851977 WBR851971:WBR851977 WLN851971:WLN851977 WVJ851971:WVJ851977 B917507:B917513 IX917507:IX917513 ST917507:ST917513 ACP917507:ACP917513 AML917507:AML917513 AWH917507:AWH917513 BGD917507:BGD917513 BPZ917507:BPZ917513 BZV917507:BZV917513 CJR917507:CJR917513 CTN917507:CTN917513 DDJ917507:DDJ917513 DNF917507:DNF917513 DXB917507:DXB917513 EGX917507:EGX917513 EQT917507:EQT917513 FAP917507:FAP917513 FKL917507:FKL917513 FUH917507:FUH917513 GED917507:GED917513 GNZ917507:GNZ917513 GXV917507:GXV917513 HHR917507:HHR917513 HRN917507:HRN917513 IBJ917507:IBJ917513 ILF917507:ILF917513 IVB917507:IVB917513 JEX917507:JEX917513 JOT917507:JOT917513 JYP917507:JYP917513 KIL917507:KIL917513 KSH917507:KSH917513 LCD917507:LCD917513 LLZ917507:LLZ917513 LVV917507:LVV917513 MFR917507:MFR917513 MPN917507:MPN917513 MZJ917507:MZJ917513 NJF917507:NJF917513 NTB917507:NTB917513 OCX917507:OCX917513 OMT917507:OMT917513 OWP917507:OWP917513 PGL917507:PGL917513 PQH917507:PQH917513 QAD917507:QAD917513 QJZ917507:QJZ917513 QTV917507:QTV917513 RDR917507:RDR917513 RNN917507:RNN917513 RXJ917507:RXJ917513 SHF917507:SHF917513 SRB917507:SRB917513 TAX917507:TAX917513 TKT917507:TKT917513 TUP917507:TUP917513 UEL917507:UEL917513 UOH917507:UOH917513 UYD917507:UYD917513 VHZ917507:VHZ917513 VRV917507:VRV917513 WBR917507:WBR917513 WLN917507:WLN917513 WVJ917507:WVJ917513 B983043:B983049 IX983043:IX983049 ST983043:ST983049 ACP983043:ACP983049 AML983043:AML983049 AWH983043:AWH983049 BGD983043:BGD983049 BPZ983043:BPZ983049 BZV983043:BZV983049 CJR983043:CJR983049 CTN983043:CTN983049 DDJ983043:DDJ983049 DNF983043:DNF983049 DXB983043:DXB983049 EGX983043:EGX983049 EQT983043:EQT983049 FAP983043:FAP983049 FKL983043:FKL983049 FUH983043:FUH983049 GED983043:GED983049 GNZ983043:GNZ983049 GXV983043:GXV983049 HHR983043:HHR983049 HRN983043:HRN983049 IBJ983043:IBJ983049 ILF983043:ILF983049 IVB983043:IVB983049 JEX983043:JEX983049 JOT983043:JOT983049 JYP983043:JYP983049 KIL983043:KIL983049 KSH983043:KSH983049 LCD983043:LCD983049 LLZ983043:LLZ983049 LVV983043:LVV983049 MFR983043:MFR983049 MPN983043:MPN983049 MZJ983043:MZJ983049 NJF983043:NJF983049 NTB983043:NTB983049 OCX983043:OCX983049 OMT983043:OMT983049 OWP983043:OWP983049 PGL983043:PGL983049 PQH983043:PQH983049 QAD983043:QAD983049 QJZ983043:QJZ983049 QTV983043:QTV983049 RDR983043:RDR983049 RNN983043:RNN983049 RXJ983043:RXJ983049 SHF983043:SHF983049 SRB983043:SRB983049 TAX983043:TAX983049 TKT983043:TKT983049 TUP983043:TUP983049 UEL983043:UEL983049 UOH983043:UOH983049 UYD983043:UYD983049 VHZ983043:VHZ983049 VRV983043:VRV983049 WBR983043:WBR983049 WLN983043:WLN983049 WVJ983043:WVJ983049 B65612:B65614 IX65612:IX65614 ST65612:ST65614 ACP65612:ACP65614 AML65612:AML65614 AWH65612:AWH65614 BGD65612:BGD65614 BPZ65612:BPZ65614 BZV65612:BZV65614 CJR65612:CJR65614 CTN65612:CTN65614 DDJ65612:DDJ65614 DNF65612:DNF65614 DXB65612:DXB65614 EGX65612:EGX65614 EQT65612:EQT65614 FAP65612:FAP65614 FKL65612:FKL65614 FUH65612:FUH65614 GED65612:GED65614 GNZ65612:GNZ65614 GXV65612:GXV65614 HHR65612:HHR65614 HRN65612:HRN65614 IBJ65612:IBJ65614 ILF65612:ILF65614 IVB65612:IVB65614 JEX65612:JEX65614 JOT65612:JOT65614 JYP65612:JYP65614 KIL65612:KIL65614 KSH65612:KSH65614 LCD65612:LCD65614 LLZ65612:LLZ65614 LVV65612:LVV65614 MFR65612:MFR65614 MPN65612:MPN65614 MZJ65612:MZJ65614 NJF65612:NJF65614 NTB65612:NTB65614 OCX65612:OCX65614 OMT65612:OMT65614 OWP65612:OWP65614 PGL65612:PGL65614 PQH65612:PQH65614 QAD65612:QAD65614 QJZ65612:QJZ65614 QTV65612:QTV65614 RDR65612:RDR65614 RNN65612:RNN65614 RXJ65612:RXJ65614 SHF65612:SHF65614 SRB65612:SRB65614 TAX65612:TAX65614 TKT65612:TKT65614 TUP65612:TUP65614 UEL65612:UEL65614 UOH65612:UOH65614 UYD65612:UYD65614 VHZ65612:VHZ65614 VRV65612:VRV65614 WBR65612:WBR65614 WLN65612:WLN65614 WVJ65612:WVJ65614 B131148:B131150 IX131148:IX131150 ST131148:ST131150 ACP131148:ACP131150 AML131148:AML131150 AWH131148:AWH131150 BGD131148:BGD131150 BPZ131148:BPZ131150 BZV131148:BZV131150 CJR131148:CJR131150 CTN131148:CTN131150 DDJ131148:DDJ131150 DNF131148:DNF131150 DXB131148:DXB131150 EGX131148:EGX131150 EQT131148:EQT131150 FAP131148:FAP131150 FKL131148:FKL131150 FUH131148:FUH131150 GED131148:GED131150 GNZ131148:GNZ131150 GXV131148:GXV131150 HHR131148:HHR131150 HRN131148:HRN131150 IBJ131148:IBJ131150 ILF131148:ILF131150 IVB131148:IVB131150 JEX131148:JEX131150 JOT131148:JOT131150 JYP131148:JYP131150 KIL131148:KIL131150 KSH131148:KSH131150 LCD131148:LCD131150 LLZ131148:LLZ131150 LVV131148:LVV131150 MFR131148:MFR131150 MPN131148:MPN131150 MZJ131148:MZJ131150 NJF131148:NJF131150 NTB131148:NTB131150 OCX131148:OCX131150 OMT131148:OMT131150 OWP131148:OWP131150 PGL131148:PGL131150 PQH131148:PQH131150 QAD131148:QAD131150 QJZ131148:QJZ131150 QTV131148:QTV131150 RDR131148:RDR131150 RNN131148:RNN131150 RXJ131148:RXJ131150 SHF131148:SHF131150 SRB131148:SRB131150 TAX131148:TAX131150 TKT131148:TKT131150 TUP131148:TUP131150 UEL131148:UEL131150 UOH131148:UOH131150 UYD131148:UYD131150 VHZ131148:VHZ131150 VRV131148:VRV131150 WBR131148:WBR131150 WLN131148:WLN131150 WVJ131148:WVJ131150 B196684:B196686 IX196684:IX196686 ST196684:ST196686 ACP196684:ACP196686 AML196684:AML196686 AWH196684:AWH196686 BGD196684:BGD196686 BPZ196684:BPZ196686 BZV196684:BZV196686 CJR196684:CJR196686 CTN196684:CTN196686 DDJ196684:DDJ196686 DNF196684:DNF196686 DXB196684:DXB196686 EGX196684:EGX196686 EQT196684:EQT196686 FAP196684:FAP196686 FKL196684:FKL196686 FUH196684:FUH196686 GED196684:GED196686 GNZ196684:GNZ196686 GXV196684:GXV196686 HHR196684:HHR196686 HRN196684:HRN196686 IBJ196684:IBJ196686 ILF196684:ILF196686 IVB196684:IVB196686 JEX196684:JEX196686 JOT196684:JOT196686 JYP196684:JYP196686 KIL196684:KIL196686 KSH196684:KSH196686 LCD196684:LCD196686 LLZ196684:LLZ196686 LVV196684:LVV196686 MFR196684:MFR196686 MPN196684:MPN196686 MZJ196684:MZJ196686 NJF196684:NJF196686 NTB196684:NTB196686 OCX196684:OCX196686 OMT196684:OMT196686 OWP196684:OWP196686 PGL196684:PGL196686 PQH196684:PQH196686 QAD196684:QAD196686 QJZ196684:QJZ196686 QTV196684:QTV196686 RDR196684:RDR196686 RNN196684:RNN196686 RXJ196684:RXJ196686 SHF196684:SHF196686 SRB196684:SRB196686 TAX196684:TAX196686 TKT196684:TKT196686 TUP196684:TUP196686 UEL196684:UEL196686 UOH196684:UOH196686 UYD196684:UYD196686 VHZ196684:VHZ196686 VRV196684:VRV196686 WBR196684:WBR196686 WLN196684:WLN196686 WVJ196684:WVJ196686 B262220:B262222 IX262220:IX262222 ST262220:ST262222 ACP262220:ACP262222 AML262220:AML262222 AWH262220:AWH262222 BGD262220:BGD262222 BPZ262220:BPZ262222 BZV262220:BZV262222 CJR262220:CJR262222 CTN262220:CTN262222 DDJ262220:DDJ262222 DNF262220:DNF262222 DXB262220:DXB262222 EGX262220:EGX262222 EQT262220:EQT262222 FAP262220:FAP262222 FKL262220:FKL262222 FUH262220:FUH262222 GED262220:GED262222 GNZ262220:GNZ262222 GXV262220:GXV262222 HHR262220:HHR262222 HRN262220:HRN262222 IBJ262220:IBJ262222 ILF262220:ILF262222 IVB262220:IVB262222 JEX262220:JEX262222 JOT262220:JOT262222 JYP262220:JYP262222 KIL262220:KIL262222 KSH262220:KSH262222 LCD262220:LCD262222 LLZ262220:LLZ262222 LVV262220:LVV262222 MFR262220:MFR262222 MPN262220:MPN262222 MZJ262220:MZJ262222 NJF262220:NJF262222 NTB262220:NTB262222 OCX262220:OCX262222 OMT262220:OMT262222 OWP262220:OWP262222 PGL262220:PGL262222 PQH262220:PQH262222 QAD262220:QAD262222 QJZ262220:QJZ262222 QTV262220:QTV262222 RDR262220:RDR262222 RNN262220:RNN262222 RXJ262220:RXJ262222 SHF262220:SHF262222 SRB262220:SRB262222 TAX262220:TAX262222 TKT262220:TKT262222 TUP262220:TUP262222 UEL262220:UEL262222 UOH262220:UOH262222 UYD262220:UYD262222 VHZ262220:VHZ262222 VRV262220:VRV262222 WBR262220:WBR262222 WLN262220:WLN262222 WVJ262220:WVJ262222 B327756:B327758 IX327756:IX327758 ST327756:ST327758 ACP327756:ACP327758 AML327756:AML327758 AWH327756:AWH327758 BGD327756:BGD327758 BPZ327756:BPZ327758 BZV327756:BZV327758 CJR327756:CJR327758 CTN327756:CTN327758 DDJ327756:DDJ327758 DNF327756:DNF327758 DXB327756:DXB327758 EGX327756:EGX327758 EQT327756:EQT327758 FAP327756:FAP327758 FKL327756:FKL327758 FUH327756:FUH327758 GED327756:GED327758 GNZ327756:GNZ327758 GXV327756:GXV327758 HHR327756:HHR327758 HRN327756:HRN327758 IBJ327756:IBJ327758 ILF327756:ILF327758 IVB327756:IVB327758 JEX327756:JEX327758 JOT327756:JOT327758 JYP327756:JYP327758 KIL327756:KIL327758 KSH327756:KSH327758 LCD327756:LCD327758 LLZ327756:LLZ327758 LVV327756:LVV327758 MFR327756:MFR327758 MPN327756:MPN327758 MZJ327756:MZJ327758 NJF327756:NJF327758 NTB327756:NTB327758 OCX327756:OCX327758 OMT327756:OMT327758 OWP327756:OWP327758 PGL327756:PGL327758 PQH327756:PQH327758 QAD327756:QAD327758 QJZ327756:QJZ327758 QTV327756:QTV327758 RDR327756:RDR327758 RNN327756:RNN327758 RXJ327756:RXJ327758 SHF327756:SHF327758 SRB327756:SRB327758 TAX327756:TAX327758 TKT327756:TKT327758 TUP327756:TUP327758 UEL327756:UEL327758 UOH327756:UOH327758 UYD327756:UYD327758 VHZ327756:VHZ327758 VRV327756:VRV327758 WBR327756:WBR327758 WLN327756:WLN327758 WVJ327756:WVJ327758 B393292:B393294 IX393292:IX393294 ST393292:ST393294 ACP393292:ACP393294 AML393292:AML393294 AWH393292:AWH393294 BGD393292:BGD393294 BPZ393292:BPZ393294 BZV393292:BZV393294 CJR393292:CJR393294 CTN393292:CTN393294 DDJ393292:DDJ393294 DNF393292:DNF393294 DXB393292:DXB393294 EGX393292:EGX393294 EQT393292:EQT393294 FAP393292:FAP393294 FKL393292:FKL393294 FUH393292:FUH393294 GED393292:GED393294 GNZ393292:GNZ393294 GXV393292:GXV393294 HHR393292:HHR393294 HRN393292:HRN393294 IBJ393292:IBJ393294 ILF393292:ILF393294 IVB393292:IVB393294 JEX393292:JEX393294 JOT393292:JOT393294 JYP393292:JYP393294 KIL393292:KIL393294 KSH393292:KSH393294 LCD393292:LCD393294 LLZ393292:LLZ393294 LVV393292:LVV393294 MFR393292:MFR393294 MPN393292:MPN393294 MZJ393292:MZJ393294 NJF393292:NJF393294 NTB393292:NTB393294 OCX393292:OCX393294 OMT393292:OMT393294 OWP393292:OWP393294 PGL393292:PGL393294 PQH393292:PQH393294 QAD393292:QAD393294 QJZ393292:QJZ393294 QTV393292:QTV393294 RDR393292:RDR393294 RNN393292:RNN393294 RXJ393292:RXJ393294 SHF393292:SHF393294 SRB393292:SRB393294 TAX393292:TAX393294 TKT393292:TKT393294 TUP393292:TUP393294 UEL393292:UEL393294 UOH393292:UOH393294 UYD393292:UYD393294 VHZ393292:VHZ393294 VRV393292:VRV393294 WBR393292:WBR393294 WLN393292:WLN393294 WVJ393292:WVJ393294 B458828:B458830 IX458828:IX458830 ST458828:ST458830 ACP458828:ACP458830 AML458828:AML458830 AWH458828:AWH458830 BGD458828:BGD458830 BPZ458828:BPZ458830 BZV458828:BZV458830 CJR458828:CJR458830 CTN458828:CTN458830 DDJ458828:DDJ458830 DNF458828:DNF458830 DXB458828:DXB458830 EGX458828:EGX458830 EQT458828:EQT458830 FAP458828:FAP458830 FKL458828:FKL458830 FUH458828:FUH458830 GED458828:GED458830 GNZ458828:GNZ458830 GXV458828:GXV458830 HHR458828:HHR458830 HRN458828:HRN458830 IBJ458828:IBJ458830 ILF458828:ILF458830 IVB458828:IVB458830 JEX458828:JEX458830 JOT458828:JOT458830 JYP458828:JYP458830 KIL458828:KIL458830 KSH458828:KSH458830 LCD458828:LCD458830 LLZ458828:LLZ458830 LVV458828:LVV458830 MFR458828:MFR458830 MPN458828:MPN458830 MZJ458828:MZJ458830 NJF458828:NJF458830 NTB458828:NTB458830 OCX458828:OCX458830 OMT458828:OMT458830 OWP458828:OWP458830 PGL458828:PGL458830 PQH458828:PQH458830 QAD458828:QAD458830 QJZ458828:QJZ458830 QTV458828:QTV458830 RDR458828:RDR458830 RNN458828:RNN458830 RXJ458828:RXJ458830 SHF458828:SHF458830 SRB458828:SRB458830 TAX458828:TAX458830 TKT458828:TKT458830 TUP458828:TUP458830 UEL458828:UEL458830 UOH458828:UOH458830 UYD458828:UYD458830 VHZ458828:VHZ458830 VRV458828:VRV458830 WBR458828:WBR458830 WLN458828:WLN458830 WVJ458828:WVJ458830 B524364:B524366 IX524364:IX524366 ST524364:ST524366 ACP524364:ACP524366 AML524364:AML524366 AWH524364:AWH524366 BGD524364:BGD524366 BPZ524364:BPZ524366 BZV524364:BZV524366 CJR524364:CJR524366 CTN524364:CTN524366 DDJ524364:DDJ524366 DNF524364:DNF524366 DXB524364:DXB524366 EGX524364:EGX524366 EQT524364:EQT524366 FAP524364:FAP524366 FKL524364:FKL524366 FUH524364:FUH524366 GED524364:GED524366 GNZ524364:GNZ524366 GXV524364:GXV524366 HHR524364:HHR524366 HRN524364:HRN524366 IBJ524364:IBJ524366 ILF524364:ILF524366 IVB524364:IVB524366 JEX524364:JEX524366 JOT524364:JOT524366 JYP524364:JYP524366 KIL524364:KIL524366 KSH524364:KSH524366 LCD524364:LCD524366 LLZ524364:LLZ524366 LVV524364:LVV524366 MFR524364:MFR524366 MPN524364:MPN524366 MZJ524364:MZJ524366 NJF524364:NJF524366 NTB524364:NTB524366 OCX524364:OCX524366 OMT524364:OMT524366 OWP524364:OWP524366 PGL524364:PGL524366 PQH524364:PQH524366 QAD524364:QAD524366 QJZ524364:QJZ524366 QTV524364:QTV524366 RDR524364:RDR524366 RNN524364:RNN524366 RXJ524364:RXJ524366 SHF524364:SHF524366 SRB524364:SRB524366 TAX524364:TAX524366 TKT524364:TKT524366 TUP524364:TUP524366 UEL524364:UEL524366 UOH524364:UOH524366 UYD524364:UYD524366 VHZ524364:VHZ524366 VRV524364:VRV524366 WBR524364:WBR524366 WLN524364:WLN524366 WVJ524364:WVJ524366 B589900:B589902 IX589900:IX589902 ST589900:ST589902 ACP589900:ACP589902 AML589900:AML589902 AWH589900:AWH589902 BGD589900:BGD589902 BPZ589900:BPZ589902 BZV589900:BZV589902 CJR589900:CJR589902 CTN589900:CTN589902 DDJ589900:DDJ589902 DNF589900:DNF589902 DXB589900:DXB589902 EGX589900:EGX589902 EQT589900:EQT589902 FAP589900:FAP589902 FKL589900:FKL589902 FUH589900:FUH589902 GED589900:GED589902 GNZ589900:GNZ589902 GXV589900:GXV589902 HHR589900:HHR589902 HRN589900:HRN589902 IBJ589900:IBJ589902 ILF589900:ILF589902 IVB589900:IVB589902 JEX589900:JEX589902 JOT589900:JOT589902 JYP589900:JYP589902 KIL589900:KIL589902 KSH589900:KSH589902 LCD589900:LCD589902 LLZ589900:LLZ589902 LVV589900:LVV589902 MFR589900:MFR589902 MPN589900:MPN589902 MZJ589900:MZJ589902 NJF589900:NJF589902 NTB589900:NTB589902 OCX589900:OCX589902 OMT589900:OMT589902 OWP589900:OWP589902 PGL589900:PGL589902 PQH589900:PQH589902 QAD589900:QAD589902 QJZ589900:QJZ589902 QTV589900:QTV589902 RDR589900:RDR589902 RNN589900:RNN589902 RXJ589900:RXJ589902 SHF589900:SHF589902 SRB589900:SRB589902 TAX589900:TAX589902 TKT589900:TKT589902 TUP589900:TUP589902 UEL589900:UEL589902 UOH589900:UOH589902 UYD589900:UYD589902 VHZ589900:VHZ589902 VRV589900:VRV589902 WBR589900:WBR589902 WLN589900:WLN589902 WVJ589900:WVJ589902 B655436:B655438 IX655436:IX655438 ST655436:ST655438 ACP655436:ACP655438 AML655436:AML655438 AWH655436:AWH655438 BGD655436:BGD655438 BPZ655436:BPZ655438 BZV655436:BZV655438 CJR655436:CJR655438 CTN655436:CTN655438 DDJ655436:DDJ655438 DNF655436:DNF655438 DXB655436:DXB655438 EGX655436:EGX655438 EQT655436:EQT655438 FAP655436:FAP655438 FKL655436:FKL655438 FUH655436:FUH655438 GED655436:GED655438 GNZ655436:GNZ655438 GXV655436:GXV655438 HHR655436:HHR655438 HRN655436:HRN655438 IBJ655436:IBJ655438 ILF655436:ILF655438 IVB655436:IVB655438 JEX655436:JEX655438 JOT655436:JOT655438 JYP655436:JYP655438 KIL655436:KIL655438 KSH655436:KSH655438 LCD655436:LCD655438 LLZ655436:LLZ655438 LVV655436:LVV655438 MFR655436:MFR655438 MPN655436:MPN655438 MZJ655436:MZJ655438 NJF655436:NJF655438 NTB655436:NTB655438 OCX655436:OCX655438 OMT655436:OMT655438 OWP655436:OWP655438 PGL655436:PGL655438 PQH655436:PQH655438 QAD655436:QAD655438 QJZ655436:QJZ655438 QTV655436:QTV655438 RDR655436:RDR655438 RNN655436:RNN655438 RXJ655436:RXJ655438 SHF655436:SHF655438 SRB655436:SRB655438 TAX655436:TAX655438 TKT655436:TKT655438 TUP655436:TUP655438 UEL655436:UEL655438 UOH655436:UOH655438 UYD655436:UYD655438 VHZ655436:VHZ655438 VRV655436:VRV655438 WBR655436:WBR655438 WLN655436:WLN655438 WVJ655436:WVJ655438 B720972:B720974 IX720972:IX720974 ST720972:ST720974 ACP720972:ACP720974 AML720972:AML720974 AWH720972:AWH720974 BGD720972:BGD720974 BPZ720972:BPZ720974 BZV720972:BZV720974 CJR720972:CJR720974 CTN720972:CTN720974 DDJ720972:DDJ720974 DNF720972:DNF720974 DXB720972:DXB720974 EGX720972:EGX720974 EQT720972:EQT720974 FAP720972:FAP720974 FKL720972:FKL720974 FUH720972:FUH720974 GED720972:GED720974 GNZ720972:GNZ720974 GXV720972:GXV720974 HHR720972:HHR720974 HRN720972:HRN720974 IBJ720972:IBJ720974 ILF720972:ILF720974 IVB720972:IVB720974 JEX720972:JEX720974 JOT720972:JOT720974 JYP720972:JYP720974 KIL720972:KIL720974 KSH720972:KSH720974 LCD720972:LCD720974 LLZ720972:LLZ720974 LVV720972:LVV720974 MFR720972:MFR720974 MPN720972:MPN720974 MZJ720972:MZJ720974 NJF720972:NJF720974 NTB720972:NTB720974 OCX720972:OCX720974 OMT720972:OMT720974 OWP720972:OWP720974 PGL720972:PGL720974 PQH720972:PQH720974 QAD720972:QAD720974 QJZ720972:QJZ720974 QTV720972:QTV720974 RDR720972:RDR720974 RNN720972:RNN720974 RXJ720972:RXJ720974 SHF720972:SHF720974 SRB720972:SRB720974 TAX720972:TAX720974 TKT720972:TKT720974 TUP720972:TUP720974 UEL720972:UEL720974 UOH720972:UOH720974 UYD720972:UYD720974 VHZ720972:VHZ720974 VRV720972:VRV720974 WBR720972:WBR720974 WLN720972:WLN720974 WVJ720972:WVJ720974 B786508:B786510 IX786508:IX786510 ST786508:ST786510 ACP786508:ACP786510 AML786508:AML786510 AWH786508:AWH786510 BGD786508:BGD786510 BPZ786508:BPZ786510 BZV786508:BZV786510 CJR786508:CJR786510 CTN786508:CTN786510 DDJ786508:DDJ786510 DNF786508:DNF786510 DXB786508:DXB786510 EGX786508:EGX786510 EQT786508:EQT786510 FAP786508:FAP786510 FKL786508:FKL786510 FUH786508:FUH786510 GED786508:GED786510 GNZ786508:GNZ786510 GXV786508:GXV786510 HHR786508:HHR786510 HRN786508:HRN786510 IBJ786508:IBJ786510 ILF786508:ILF786510 IVB786508:IVB786510 JEX786508:JEX786510 JOT786508:JOT786510 JYP786508:JYP786510 KIL786508:KIL786510 KSH786508:KSH786510 LCD786508:LCD786510 LLZ786508:LLZ786510 LVV786508:LVV786510 MFR786508:MFR786510 MPN786508:MPN786510 MZJ786508:MZJ786510 NJF786508:NJF786510 NTB786508:NTB786510 OCX786508:OCX786510 OMT786508:OMT786510 OWP786508:OWP786510 PGL786508:PGL786510 PQH786508:PQH786510 QAD786508:QAD786510 QJZ786508:QJZ786510 QTV786508:QTV786510 RDR786508:RDR786510 RNN786508:RNN786510 RXJ786508:RXJ786510 SHF786508:SHF786510 SRB786508:SRB786510 TAX786508:TAX786510 TKT786508:TKT786510 TUP786508:TUP786510 UEL786508:UEL786510 UOH786508:UOH786510 UYD786508:UYD786510 VHZ786508:VHZ786510 VRV786508:VRV786510 WBR786508:WBR786510 WLN786508:WLN786510 WVJ786508:WVJ786510 B852044:B852046 IX852044:IX852046 ST852044:ST852046 ACP852044:ACP852046 AML852044:AML852046 AWH852044:AWH852046 BGD852044:BGD852046 BPZ852044:BPZ852046 BZV852044:BZV852046 CJR852044:CJR852046 CTN852044:CTN852046 DDJ852044:DDJ852046 DNF852044:DNF852046 DXB852044:DXB852046 EGX852044:EGX852046 EQT852044:EQT852046 FAP852044:FAP852046 FKL852044:FKL852046 FUH852044:FUH852046 GED852044:GED852046 GNZ852044:GNZ852046 GXV852044:GXV852046 HHR852044:HHR852046 HRN852044:HRN852046 IBJ852044:IBJ852046 ILF852044:ILF852046 IVB852044:IVB852046 JEX852044:JEX852046 JOT852044:JOT852046 JYP852044:JYP852046 KIL852044:KIL852046 KSH852044:KSH852046 LCD852044:LCD852046 LLZ852044:LLZ852046 LVV852044:LVV852046 MFR852044:MFR852046 MPN852044:MPN852046 MZJ852044:MZJ852046 NJF852044:NJF852046 NTB852044:NTB852046 OCX852044:OCX852046 OMT852044:OMT852046 OWP852044:OWP852046 PGL852044:PGL852046 PQH852044:PQH852046 QAD852044:QAD852046 QJZ852044:QJZ852046 QTV852044:QTV852046 RDR852044:RDR852046 RNN852044:RNN852046 RXJ852044:RXJ852046 SHF852044:SHF852046 SRB852044:SRB852046 TAX852044:TAX852046 TKT852044:TKT852046 TUP852044:TUP852046 UEL852044:UEL852046 UOH852044:UOH852046 UYD852044:UYD852046 VHZ852044:VHZ852046 VRV852044:VRV852046 WBR852044:WBR852046 WLN852044:WLN852046 WVJ852044:WVJ852046 B917580:B917582 IX917580:IX917582 ST917580:ST917582 ACP917580:ACP917582 AML917580:AML917582 AWH917580:AWH917582 BGD917580:BGD917582 BPZ917580:BPZ917582 BZV917580:BZV917582 CJR917580:CJR917582 CTN917580:CTN917582 DDJ917580:DDJ917582 DNF917580:DNF917582 DXB917580:DXB917582 EGX917580:EGX917582 EQT917580:EQT917582 FAP917580:FAP917582 FKL917580:FKL917582 FUH917580:FUH917582 GED917580:GED917582 GNZ917580:GNZ917582 GXV917580:GXV917582 HHR917580:HHR917582 HRN917580:HRN917582 IBJ917580:IBJ917582 ILF917580:ILF917582 IVB917580:IVB917582 JEX917580:JEX917582 JOT917580:JOT917582 JYP917580:JYP917582 KIL917580:KIL917582 KSH917580:KSH917582 LCD917580:LCD917582 LLZ917580:LLZ917582 LVV917580:LVV917582 MFR917580:MFR917582 MPN917580:MPN917582 MZJ917580:MZJ917582 NJF917580:NJF917582 NTB917580:NTB917582 OCX917580:OCX917582 OMT917580:OMT917582 OWP917580:OWP917582 PGL917580:PGL917582 PQH917580:PQH917582 QAD917580:QAD917582 QJZ917580:QJZ917582 QTV917580:QTV917582 RDR917580:RDR917582 RNN917580:RNN917582 RXJ917580:RXJ917582 SHF917580:SHF917582 SRB917580:SRB917582 TAX917580:TAX917582 TKT917580:TKT917582 TUP917580:TUP917582 UEL917580:UEL917582 UOH917580:UOH917582 UYD917580:UYD917582 VHZ917580:VHZ917582 VRV917580:VRV917582 WBR917580:WBR917582 WLN917580:WLN917582 WVJ917580:WVJ917582 B983116:B983118 IX983116:IX983118 ST983116:ST983118 ACP983116:ACP983118 AML983116:AML983118 AWH983116:AWH983118 BGD983116:BGD983118 BPZ983116:BPZ983118 BZV983116:BZV983118 CJR983116:CJR983118 CTN983116:CTN983118 DDJ983116:DDJ983118 DNF983116:DNF983118 DXB983116:DXB983118 EGX983116:EGX983118 EQT983116:EQT983118 FAP983116:FAP983118 FKL983116:FKL983118 FUH983116:FUH983118 GED983116:GED983118 GNZ983116:GNZ983118 GXV983116:GXV983118 HHR983116:HHR983118 HRN983116:HRN983118 IBJ983116:IBJ983118 ILF983116:ILF983118 IVB983116:IVB983118 JEX983116:JEX983118 JOT983116:JOT983118 JYP983116:JYP983118 KIL983116:KIL983118 KSH983116:KSH983118 LCD983116:LCD983118 LLZ983116:LLZ983118 LVV983116:LVV983118 MFR983116:MFR983118 MPN983116:MPN983118 MZJ983116:MZJ983118 NJF983116:NJF983118 NTB983116:NTB983118 OCX983116:OCX983118 OMT983116:OMT983118 OWP983116:OWP983118 PGL983116:PGL983118 PQH983116:PQH983118 QAD983116:QAD983118 QJZ983116:QJZ983118 QTV983116:QTV983118 RDR983116:RDR983118 RNN983116:RNN983118 RXJ983116:RXJ983118 SHF983116:SHF983118 SRB983116:SRB983118 TAX983116:TAX983118 TKT983116:TKT983118 TUP983116:TUP983118 UEL983116:UEL983118 UOH983116:UOH983118 UYD983116:UYD983118 VHZ983116:VHZ983118 VRV983116:VRV983118 WBR983116:WBR983118 WLN983116:WLN983118 WVJ983116:WVJ983118 B95:B97 IX95:IX97 ST95:ST97 ACP95:ACP97 AML95:AML97 AWH95:AWH97 BGD95:BGD97 BPZ95:BPZ97 BZV95:BZV97 CJR95:CJR97 CTN95:CTN97 DDJ95:DDJ97 DNF95:DNF97 DXB95:DXB97 EGX95:EGX97 EQT95:EQT97 FAP95:FAP97 FKL95:FKL97 FUH95:FUH97 GED95:GED97 GNZ95:GNZ97 GXV95:GXV97 HHR95:HHR97 HRN95:HRN97 IBJ95:IBJ97 ILF95:ILF97 IVB95:IVB97 JEX95:JEX97 JOT95:JOT97 JYP95:JYP97 KIL95:KIL97 KSH95:KSH97 LCD95:LCD97 LLZ95:LLZ97 LVV95:LVV97 MFR95:MFR97 MPN95:MPN97 MZJ95:MZJ97 NJF95:NJF97 NTB95:NTB97 OCX95:OCX97 OMT95:OMT97 OWP95:OWP97 PGL95:PGL97 PQH95:PQH97 QAD95:QAD97 QJZ95:QJZ97 QTV95:QTV97 RDR95:RDR97 RNN95:RNN97 RXJ95:RXJ97 SHF95:SHF97 SRB95:SRB97 TAX95:TAX97 TKT95:TKT97 TUP95:TUP97 UEL95:UEL97 UOH95:UOH97 UYD95:UYD97 VHZ95:VHZ97 VRV95:VRV97 WBR95:WBR97 WLN95:WLN97 WVJ95:WVJ97 B65632:B65633 IX65632:IX65633 ST65632:ST65633 ACP65632:ACP65633 AML65632:AML65633 AWH65632:AWH65633 BGD65632:BGD65633 BPZ65632:BPZ65633 BZV65632:BZV65633 CJR65632:CJR65633 CTN65632:CTN65633 DDJ65632:DDJ65633 DNF65632:DNF65633 DXB65632:DXB65633 EGX65632:EGX65633 EQT65632:EQT65633 FAP65632:FAP65633 FKL65632:FKL65633 FUH65632:FUH65633 GED65632:GED65633 GNZ65632:GNZ65633 GXV65632:GXV65633 HHR65632:HHR65633 HRN65632:HRN65633 IBJ65632:IBJ65633 ILF65632:ILF65633 IVB65632:IVB65633 JEX65632:JEX65633 JOT65632:JOT65633 JYP65632:JYP65633 KIL65632:KIL65633 KSH65632:KSH65633 LCD65632:LCD65633 LLZ65632:LLZ65633 LVV65632:LVV65633 MFR65632:MFR65633 MPN65632:MPN65633 MZJ65632:MZJ65633 NJF65632:NJF65633 NTB65632:NTB65633 OCX65632:OCX65633 OMT65632:OMT65633 OWP65632:OWP65633 PGL65632:PGL65633 PQH65632:PQH65633 QAD65632:QAD65633 QJZ65632:QJZ65633 QTV65632:QTV65633 RDR65632:RDR65633 RNN65632:RNN65633 RXJ65632:RXJ65633 SHF65632:SHF65633 SRB65632:SRB65633 TAX65632:TAX65633 TKT65632:TKT65633 TUP65632:TUP65633 UEL65632:UEL65633 UOH65632:UOH65633 UYD65632:UYD65633 VHZ65632:VHZ65633 VRV65632:VRV65633 WBR65632:WBR65633 WLN65632:WLN65633 WVJ65632:WVJ65633 B131168:B131169 IX131168:IX131169 ST131168:ST131169 ACP131168:ACP131169 AML131168:AML131169 AWH131168:AWH131169 BGD131168:BGD131169 BPZ131168:BPZ131169 BZV131168:BZV131169 CJR131168:CJR131169 CTN131168:CTN131169 DDJ131168:DDJ131169 DNF131168:DNF131169 DXB131168:DXB131169 EGX131168:EGX131169 EQT131168:EQT131169 FAP131168:FAP131169 FKL131168:FKL131169 FUH131168:FUH131169 GED131168:GED131169 GNZ131168:GNZ131169 GXV131168:GXV131169 HHR131168:HHR131169 HRN131168:HRN131169 IBJ131168:IBJ131169 ILF131168:ILF131169 IVB131168:IVB131169 JEX131168:JEX131169 JOT131168:JOT131169 JYP131168:JYP131169 KIL131168:KIL131169 KSH131168:KSH131169 LCD131168:LCD131169 LLZ131168:LLZ131169 LVV131168:LVV131169 MFR131168:MFR131169 MPN131168:MPN131169 MZJ131168:MZJ131169 NJF131168:NJF131169 NTB131168:NTB131169 OCX131168:OCX131169 OMT131168:OMT131169 OWP131168:OWP131169 PGL131168:PGL131169 PQH131168:PQH131169 QAD131168:QAD131169 QJZ131168:QJZ131169 QTV131168:QTV131169 RDR131168:RDR131169 RNN131168:RNN131169 RXJ131168:RXJ131169 SHF131168:SHF131169 SRB131168:SRB131169 TAX131168:TAX131169 TKT131168:TKT131169 TUP131168:TUP131169 UEL131168:UEL131169 UOH131168:UOH131169 UYD131168:UYD131169 VHZ131168:VHZ131169 VRV131168:VRV131169 WBR131168:WBR131169 WLN131168:WLN131169 WVJ131168:WVJ131169 B196704:B196705 IX196704:IX196705 ST196704:ST196705 ACP196704:ACP196705 AML196704:AML196705 AWH196704:AWH196705 BGD196704:BGD196705 BPZ196704:BPZ196705 BZV196704:BZV196705 CJR196704:CJR196705 CTN196704:CTN196705 DDJ196704:DDJ196705 DNF196704:DNF196705 DXB196704:DXB196705 EGX196704:EGX196705 EQT196704:EQT196705 FAP196704:FAP196705 FKL196704:FKL196705 FUH196704:FUH196705 GED196704:GED196705 GNZ196704:GNZ196705 GXV196704:GXV196705 HHR196704:HHR196705 HRN196704:HRN196705 IBJ196704:IBJ196705 ILF196704:ILF196705 IVB196704:IVB196705 JEX196704:JEX196705 JOT196704:JOT196705 JYP196704:JYP196705 KIL196704:KIL196705 KSH196704:KSH196705 LCD196704:LCD196705 LLZ196704:LLZ196705 LVV196704:LVV196705 MFR196704:MFR196705 MPN196704:MPN196705 MZJ196704:MZJ196705 NJF196704:NJF196705 NTB196704:NTB196705 OCX196704:OCX196705 OMT196704:OMT196705 OWP196704:OWP196705 PGL196704:PGL196705 PQH196704:PQH196705 QAD196704:QAD196705 QJZ196704:QJZ196705 QTV196704:QTV196705 RDR196704:RDR196705 RNN196704:RNN196705 RXJ196704:RXJ196705 SHF196704:SHF196705 SRB196704:SRB196705 TAX196704:TAX196705 TKT196704:TKT196705 TUP196704:TUP196705 UEL196704:UEL196705 UOH196704:UOH196705 UYD196704:UYD196705 VHZ196704:VHZ196705 VRV196704:VRV196705 WBR196704:WBR196705 WLN196704:WLN196705 WVJ196704:WVJ196705 B262240:B262241 IX262240:IX262241 ST262240:ST262241 ACP262240:ACP262241 AML262240:AML262241 AWH262240:AWH262241 BGD262240:BGD262241 BPZ262240:BPZ262241 BZV262240:BZV262241 CJR262240:CJR262241 CTN262240:CTN262241 DDJ262240:DDJ262241 DNF262240:DNF262241 DXB262240:DXB262241 EGX262240:EGX262241 EQT262240:EQT262241 FAP262240:FAP262241 FKL262240:FKL262241 FUH262240:FUH262241 GED262240:GED262241 GNZ262240:GNZ262241 GXV262240:GXV262241 HHR262240:HHR262241 HRN262240:HRN262241 IBJ262240:IBJ262241 ILF262240:ILF262241 IVB262240:IVB262241 JEX262240:JEX262241 JOT262240:JOT262241 JYP262240:JYP262241 KIL262240:KIL262241 KSH262240:KSH262241 LCD262240:LCD262241 LLZ262240:LLZ262241 LVV262240:LVV262241 MFR262240:MFR262241 MPN262240:MPN262241 MZJ262240:MZJ262241 NJF262240:NJF262241 NTB262240:NTB262241 OCX262240:OCX262241 OMT262240:OMT262241 OWP262240:OWP262241 PGL262240:PGL262241 PQH262240:PQH262241 QAD262240:QAD262241 QJZ262240:QJZ262241 QTV262240:QTV262241 RDR262240:RDR262241 RNN262240:RNN262241 RXJ262240:RXJ262241 SHF262240:SHF262241 SRB262240:SRB262241 TAX262240:TAX262241 TKT262240:TKT262241 TUP262240:TUP262241 UEL262240:UEL262241 UOH262240:UOH262241 UYD262240:UYD262241 VHZ262240:VHZ262241 VRV262240:VRV262241 WBR262240:WBR262241 WLN262240:WLN262241 WVJ262240:WVJ262241 B327776:B327777 IX327776:IX327777 ST327776:ST327777 ACP327776:ACP327777 AML327776:AML327777 AWH327776:AWH327777 BGD327776:BGD327777 BPZ327776:BPZ327777 BZV327776:BZV327777 CJR327776:CJR327777 CTN327776:CTN327777 DDJ327776:DDJ327777 DNF327776:DNF327777 DXB327776:DXB327777 EGX327776:EGX327777 EQT327776:EQT327777 FAP327776:FAP327777 FKL327776:FKL327777 FUH327776:FUH327777 GED327776:GED327777 GNZ327776:GNZ327777 GXV327776:GXV327777 HHR327776:HHR327777 HRN327776:HRN327777 IBJ327776:IBJ327777 ILF327776:ILF327777 IVB327776:IVB327777 JEX327776:JEX327777 JOT327776:JOT327777 JYP327776:JYP327777 KIL327776:KIL327777 KSH327776:KSH327777 LCD327776:LCD327777 LLZ327776:LLZ327777 LVV327776:LVV327777 MFR327776:MFR327777 MPN327776:MPN327777 MZJ327776:MZJ327777 NJF327776:NJF327777 NTB327776:NTB327777 OCX327776:OCX327777 OMT327776:OMT327777 OWP327776:OWP327777 PGL327776:PGL327777 PQH327776:PQH327777 QAD327776:QAD327777 QJZ327776:QJZ327777 QTV327776:QTV327777 RDR327776:RDR327777 RNN327776:RNN327777 RXJ327776:RXJ327777 SHF327776:SHF327777 SRB327776:SRB327777 TAX327776:TAX327777 TKT327776:TKT327777 TUP327776:TUP327777 UEL327776:UEL327777 UOH327776:UOH327777 UYD327776:UYD327777 VHZ327776:VHZ327777 VRV327776:VRV327777 WBR327776:WBR327777 WLN327776:WLN327777 WVJ327776:WVJ327777 B393312:B393313 IX393312:IX393313 ST393312:ST393313 ACP393312:ACP393313 AML393312:AML393313 AWH393312:AWH393313 BGD393312:BGD393313 BPZ393312:BPZ393313 BZV393312:BZV393313 CJR393312:CJR393313 CTN393312:CTN393313 DDJ393312:DDJ393313 DNF393312:DNF393313 DXB393312:DXB393313 EGX393312:EGX393313 EQT393312:EQT393313 FAP393312:FAP393313 FKL393312:FKL393313 FUH393312:FUH393313 GED393312:GED393313 GNZ393312:GNZ393313 GXV393312:GXV393313 HHR393312:HHR393313 HRN393312:HRN393313 IBJ393312:IBJ393313 ILF393312:ILF393313 IVB393312:IVB393313 JEX393312:JEX393313 JOT393312:JOT393313 JYP393312:JYP393313 KIL393312:KIL393313 KSH393312:KSH393313 LCD393312:LCD393313 LLZ393312:LLZ393313 LVV393312:LVV393313 MFR393312:MFR393313 MPN393312:MPN393313 MZJ393312:MZJ393313 NJF393312:NJF393313 NTB393312:NTB393313 OCX393312:OCX393313 OMT393312:OMT393313 OWP393312:OWP393313 PGL393312:PGL393313 PQH393312:PQH393313 QAD393312:QAD393313 QJZ393312:QJZ393313 QTV393312:QTV393313 RDR393312:RDR393313 RNN393312:RNN393313 RXJ393312:RXJ393313 SHF393312:SHF393313 SRB393312:SRB393313 TAX393312:TAX393313 TKT393312:TKT393313 TUP393312:TUP393313 UEL393312:UEL393313 UOH393312:UOH393313 UYD393312:UYD393313 VHZ393312:VHZ393313 VRV393312:VRV393313 WBR393312:WBR393313 WLN393312:WLN393313 WVJ393312:WVJ393313 B458848:B458849 IX458848:IX458849 ST458848:ST458849 ACP458848:ACP458849 AML458848:AML458849 AWH458848:AWH458849 BGD458848:BGD458849 BPZ458848:BPZ458849 BZV458848:BZV458849 CJR458848:CJR458849 CTN458848:CTN458849 DDJ458848:DDJ458849 DNF458848:DNF458849 DXB458848:DXB458849 EGX458848:EGX458849 EQT458848:EQT458849 FAP458848:FAP458849 FKL458848:FKL458849 FUH458848:FUH458849 GED458848:GED458849 GNZ458848:GNZ458849 GXV458848:GXV458849 HHR458848:HHR458849 HRN458848:HRN458849 IBJ458848:IBJ458849 ILF458848:ILF458849 IVB458848:IVB458849 JEX458848:JEX458849 JOT458848:JOT458849 JYP458848:JYP458849 KIL458848:KIL458849 KSH458848:KSH458849 LCD458848:LCD458849 LLZ458848:LLZ458849 LVV458848:LVV458849 MFR458848:MFR458849 MPN458848:MPN458849 MZJ458848:MZJ458849 NJF458848:NJF458849 NTB458848:NTB458849 OCX458848:OCX458849 OMT458848:OMT458849 OWP458848:OWP458849 PGL458848:PGL458849 PQH458848:PQH458849 QAD458848:QAD458849 QJZ458848:QJZ458849 QTV458848:QTV458849 RDR458848:RDR458849 RNN458848:RNN458849 RXJ458848:RXJ458849 SHF458848:SHF458849 SRB458848:SRB458849 TAX458848:TAX458849 TKT458848:TKT458849 TUP458848:TUP458849 UEL458848:UEL458849 UOH458848:UOH458849 UYD458848:UYD458849 VHZ458848:VHZ458849 VRV458848:VRV458849 WBR458848:WBR458849 WLN458848:WLN458849 WVJ458848:WVJ458849 B524384:B524385 IX524384:IX524385 ST524384:ST524385 ACP524384:ACP524385 AML524384:AML524385 AWH524384:AWH524385 BGD524384:BGD524385 BPZ524384:BPZ524385 BZV524384:BZV524385 CJR524384:CJR524385 CTN524384:CTN524385 DDJ524384:DDJ524385 DNF524384:DNF524385 DXB524384:DXB524385 EGX524384:EGX524385 EQT524384:EQT524385 FAP524384:FAP524385 FKL524384:FKL524385 FUH524384:FUH524385 GED524384:GED524385 GNZ524384:GNZ524385 GXV524384:GXV524385 HHR524384:HHR524385 HRN524384:HRN524385 IBJ524384:IBJ524385 ILF524384:ILF524385 IVB524384:IVB524385 JEX524384:JEX524385 JOT524384:JOT524385 JYP524384:JYP524385 KIL524384:KIL524385 KSH524384:KSH524385 LCD524384:LCD524385 LLZ524384:LLZ524385 LVV524384:LVV524385 MFR524384:MFR524385 MPN524384:MPN524385 MZJ524384:MZJ524385 NJF524384:NJF524385 NTB524384:NTB524385 OCX524384:OCX524385 OMT524384:OMT524385 OWP524384:OWP524385 PGL524384:PGL524385 PQH524384:PQH524385 QAD524384:QAD524385 QJZ524384:QJZ524385 QTV524384:QTV524385 RDR524384:RDR524385 RNN524384:RNN524385 RXJ524384:RXJ524385 SHF524384:SHF524385 SRB524384:SRB524385 TAX524384:TAX524385 TKT524384:TKT524385 TUP524384:TUP524385 UEL524384:UEL524385 UOH524384:UOH524385 UYD524384:UYD524385 VHZ524384:VHZ524385 VRV524384:VRV524385 WBR524384:WBR524385 WLN524384:WLN524385 WVJ524384:WVJ524385 B589920:B589921 IX589920:IX589921 ST589920:ST589921 ACP589920:ACP589921 AML589920:AML589921 AWH589920:AWH589921 BGD589920:BGD589921 BPZ589920:BPZ589921 BZV589920:BZV589921 CJR589920:CJR589921 CTN589920:CTN589921 DDJ589920:DDJ589921 DNF589920:DNF589921 DXB589920:DXB589921 EGX589920:EGX589921 EQT589920:EQT589921 FAP589920:FAP589921 FKL589920:FKL589921 FUH589920:FUH589921 GED589920:GED589921 GNZ589920:GNZ589921 GXV589920:GXV589921 HHR589920:HHR589921 HRN589920:HRN589921 IBJ589920:IBJ589921 ILF589920:ILF589921 IVB589920:IVB589921 JEX589920:JEX589921 JOT589920:JOT589921 JYP589920:JYP589921 KIL589920:KIL589921 KSH589920:KSH589921 LCD589920:LCD589921 LLZ589920:LLZ589921 LVV589920:LVV589921 MFR589920:MFR589921 MPN589920:MPN589921 MZJ589920:MZJ589921 NJF589920:NJF589921 NTB589920:NTB589921 OCX589920:OCX589921 OMT589920:OMT589921 OWP589920:OWP589921 PGL589920:PGL589921 PQH589920:PQH589921 QAD589920:QAD589921 QJZ589920:QJZ589921 QTV589920:QTV589921 RDR589920:RDR589921 RNN589920:RNN589921 RXJ589920:RXJ589921 SHF589920:SHF589921 SRB589920:SRB589921 TAX589920:TAX589921 TKT589920:TKT589921 TUP589920:TUP589921 UEL589920:UEL589921 UOH589920:UOH589921 UYD589920:UYD589921 VHZ589920:VHZ589921 VRV589920:VRV589921 WBR589920:WBR589921 WLN589920:WLN589921 WVJ589920:WVJ589921 B655456:B655457 IX655456:IX655457 ST655456:ST655457 ACP655456:ACP655457 AML655456:AML655457 AWH655456:AWH655457 BGD655456:BGD655457 BPZ655456:BPZ655457 BZV655456:BZV655457 CJR655456:CJR655457 CTN655456:CTN655457 DDJ655456:DDJ655457 DNF655456:DNF655457 DXB655456:DXB655457 EGX655456:EGX655457 EQT655456:EQT655457 FAP655456:FAP655457 FKL655456:FKL655457 FUH655456:FUH655457 GED655456:GED655457 GNZ655456:GNZ655457 GXV655456:GXV655457 HHR655456:HHR655457 HRN655456:HRN655457 IBJ655456:IBJ655457 ILF655456:ILF655457 IVB655456:IVB655457 JEX655456:JEX655457 JOT655456:JOT655457 JYP655456:JYP655457 KIL655456:KIL655457 KSH655456:KSH655457 LCD655456:LCD655457 LLZ655456:LLZ655457 LVV655456:LVV655457 MFR655456:MFR655457 MPN655456:MPN655457 MZJ655456:MZJ655457 NJF655456:NJF655457 NTB655456:NTB655457 OCX655456:OCX655457 OMT655456:OMT655457 OWP655456:OWP655457 PGL655456:PGL655457 PQH655456:PQH655457 QAD655456:QAD655457 QJZ655456:QJZ655457 QTV655456:QTV655457 RDR655456:RDR655457 RNN655456:RNN655457 RXJ655456:RXJ655457 SHF655456:SHF655457 SRB655456:SRB655457 TAX655456:TAX655457 TKT655456:TKT655457 TUP655456:TUP655457 UEL655456:UEL655457 UOH655456:UOH655457 UYD655456:UYD655457 VHZ655456:VHZ655457 VRV655456:VRV655457 WBR655456:WBR655457 WLN655456:WLN655457 WVJ655456:WVJ655457 B720992:B720993 IX720992:IX720993 ST720992:ST720993 ACP720992:ACP720993 AML720992:AML720993 AWH720992:AWH720993 BGD720992:BGD720993 BPZ720992:BPZ720993 BZV720992:BZV720993 CJR720992:CJR720993 CTN720992:CTN720993 DDJ720992:DDJ720993 DNF720992:DNF720993 DXB720992:DXB720993 EGX720992:EGX720993 EQT720992:EQT720993 FAP720992:FAP720993 FKL720992:FKL720993 FUH720992:FUH720993 GED720992:GED720993 GNZ720992:GNZ720993 GXV720992:GXV720993 HHR720992:HHR720993 HRN720992:HRN720993 IBJ720992:IBJ720993 ILF720992:ILF720993 IVB720992:IVB720993 JEX720992:JEX720993 JOT720992:JOT720993 JYP720992:JYP720993 KIL720992:KIL720993 KSH720992:KSH720993 LCD720992:LCD720993 LLZ720992:LLZ720993 LVV720992:LVV720993 MFR720992:MFR720993 MPN720992:MPN720993 MZJ720992:MZJ720993 NJF720992:NJF720993 NTB720992:NTB720993 OCX720992:OCX720993 OMT720992:OMT720993 OWP720992:OWP720993 PGL720992:PGL720993 PQH720992:PQH720993 QAD720992:QAD720993 QJZ720992:QJZ720993 QTV720992:QTV720993 RDR720992:RDR720993 RNN720992:RNN720993 RXJ720992:RXJ720993 SHF720992:SHF720993 SRB720992:SRB720993 TAX720992:TAX720993 TKT720992:TKT720993 TUP720992:TUP720993 UEL720992:UEL720993 UOH720992:UOH720993 UYD720992:UYD720993 VHZ720992:VHZ720993 VRV720992:VRV720993 WBR720992:WBR720993 WLN720992:WLN720993 WVJ720992:WVJ720993 B786528:B786529 IX786528:IX786529 ST786528:ST786529 ACP786528:ACP786529 AML786528:AML786529 AWH786528:AWH786529 BGD786528:BGD786529 BPZ786528:BPZ786529 BZV786528:BZV786529 CJR786528:CJR786529 CTN786528:CTN786529 DDJ786528:DDJ786529 DNF786528:DNF786529 DXB786528:DXB786529 EGX786528:EGX786529 EQT786528:EQT786529 FAP786528:FAP786529 FKL786528:FKL786529 FUH786528:FUH786529 GED786528:GED786529 GNZ786528:GNZ786529 GXV786528:GXV786529 HHR786528:HHR786529 HRN786528:HRN786529 IBJ786528:IBJ786529 ILF786528:ILF786529 IVB786528:IVB786529 JEX786528:JEX786529 JOT786528:JOT786529 JYP786528:JYP786529 KIL786528:KIL786529 KSH786528:KSH786529 LCD786528:LCD786529 LLZ786528:LLZ786529 LVV786528:LVV786529 MFR786528:MFR786529 MPN786528:MPN786529 MZJ786528:MZJ786529 NJF786528:NJF786529 NTB786528:NTB786529 OCX786528:OCX786529 OMT786528:OMT786529 OWP786528:OWP786529 PGL786528:PGL786529 PQH786528:PQH786529 QAD786528:QAD786529 QJZ786528:QJZ786529 QTV786528:QTV786529 RDR786528:RDR786529 RNN786528:RNN786529 RXJ786528:RXJ786529 SHF786528:SHF786529 SRB786528:SRB786529 TAX786528:TAX786529 TKT786528:TKT786529 TUP786528:TUP786529 UEL786528:UEL786529 UOH786528:UOH786529 UYD786528:UYD786529 VHZ786528:VHZ786529 VRV786528:VRV786529 WBR786528:WBR786529 WLN786528:WLN786529 WVJ786528:WVJ786529 B852064:B852065 IX852064:IX852065 ST852064:ST852065 ACP852064:ACP852065 AML852064:AML852065 AWH852064:AWH852065 BGD852064:BGD852065 BPZ852064:BPZ852065 BZV852064:BZV852065 CJR852064:CJR852065 CTN852064:CTN852065 DDJ852064:DDJ852065 DNF852064:DNF852065 DXB852064:DXB852065 EGX852064:EGX852065 EQT852064:EQT852065 FAP852064:FAP852065 FKL852064:FKL852065 FUH852064:FUH852065 GED852064:GED852065 GNZ852064:GNZ852065 GXV852064:GXV852065 HHR852064:HHR852065 HRN852064:HRN852065 IBJ852064:IBJ852065 ILF852064:ILF852065 IVB852064:IVB852065 JEX852064:JEX852065 JOT852064:JOT852065 JYP852064:JYP852065 KIL852064:KIL852065 KSH852064:KSH852065 LCD852064:LCD852065 LLZ852064:LLZ852065 LVV852064:LVV852065 MFR852064:MFR852065 MPN852064:MPN852065 MZJ852064:MZJ852065 NJF852064:NJF852065 NTB852064:NTB852065 OCX852064:OCX852065 OMT852064:OMT852065 OWP852064:OWP852065 PGL852064:PGL852065 PQH852064:PQH852065 QAD852064:QAD852065 QJZ852064:QJZ852065 QTV852064:QTV852065 RDR852064:RDR852065 RNN852064:RNN852065 RXJ852064:RXJ852065 SHF852064:SHF852065 SRB852064:SRB852065 TAX852064:TAX852065 TKT852064:TKT852065 TUP852064:TUP852065 UEL852064:UEL852065 UOH852064:UOH852065 UYD852064:UYD852065 VHZ852064:VHZ852065 VRV852064:VRV852065 WBR852064:WBR852065 WLN852064:WLN852065 WVJ852064:WVJ852065 B917600:B917601 IX917600:IX917601 ST917600:ST917601 ACP917600:ACP917601 AML917600:AML917601 AWH917600:AWH917601 BGD917600:BGD917601 BPZ917600:BPZ917601 BZV917600:BZV917601 CJR917600:CJR917601 CTN917600:CTN917601 DDJ917600:DDJ917601 DNF917600:DNF917601 DXB917600:DXB917601 EGX917600:EGX917601 EQT917600:EQT917601 FAP917600:FAP917601 FKL917600:FKL917601 FUH917600:FUH917601 GED917600:GED917601 GNZ917600:GNZ917601 GXV917600:GXV917601 HHR917600:HHR917601 HRN917600:HRN917601 IBJ917600:IBJ917601 ILF917600:ILF917601 IVB917600:IVB917601 JEX917600:JEX917601 JOT917600:JOT917601 JYP917600:JYP917601 KIL917600:KIL917601 KSH917600:KSH917601 LCD917600:LCD917601 LLZ917600:LLZ917601 LVV917600:LVV917601 MFR917600:MFR917601 MPN917600:MPN917601 MZJ917600:MZJ917601 NJF917600:NJF917601 NTB917600:NTB917601 OCX917600:OCX917601 OMT917600:OMT917601 OWP917600:OWP917601 PGL917600:PGL917601 PQH917600:PQH917601 QAD917600:QAD917601 QJZ917600:QJZ917601 QTV917600:QTV917601 RDR917600:RDR917601 RNN917600:RNN917601 RXJ917600:RXJ917601 SHF917600:SHF917601 SRB917600:SRB917601 TAX917600:TAX917601 TKT917600:TKT917601 TUP917600:TUP917601 UEL917600:UEL917601 UOH917600:UOH917601 UYD917600:UYD917601 VHZ917600:VHZ917601 VRV917600:VRV917601 WBR917600:WBR917601 WLN917600:WLN917601 WVJ917600:WVJ917601 B983136:B983137 IX983136:IX983137 ST983136:ST983137 ACP983136:ACP983137 AML983136:AML983137 AWH983136:AWH983137 BGD983136:BGD983137 BPZ983136:BPZ983137 BZV983136:BZV983137 CJR983136:CJR983137 CTN983136:CTN983137 DDJ983136:DDJ983137 DNF983136:DNF983137 DXB983136:DXB983137 EGX983136:EGX983137 EQT983136:EQT983137 FAP983136:FAP983137 FKL983136:FKL983137 FUH983136:FUH983137 GED983136:GED983137 GNZ983136:GNZ983137 GXV983136:GXV983137 HHR983136:HHR983137 HRN983136:HRN983137 IBJ983136:IBJ983137 ILF983136:ILF983137 IVB983136:IVB983137 JEX983136:JEX983137 JOT983136:JOT983137 JYP983136:JYP983137 KIL983136:KIL983137 KSH983136:KSH983137 LCD983136:LCD983137 LLZ983136:LLZ983137 LVV983136:LVV983137 MFR983136:MFR983137 MPN983136:MPN983137 MZJ983136:MZJ983137 NJF983136:NJF983137 NTB983136:NTB983137 OCX983136:OCX983137 OMT983136:OMT983137 OWP983136:OWP983137 PGL983136:PGL983137 PQH983136:PQH983137 QAD983136:QAD983137 QJZ983136:QJZ983137 QTV983136:QTV983137 RDR983136:RDR983137 RNN983136:RNN983137 RXJ983136:RXJ983137 SHF983136:SHF983137 SRB983136:SRB983137 TAX983136:TAX983137 TKT983136:TKT983137 TUP983136:TUP983137 UEL983136:UEL983137 UOH983136:UOH983137 UYD983136:UYD983137 VHZ983136:VHZ983137 VRV983136:VRV983137 WBR983136:WBR983137 WLN983136:WLN983137 WVJ983136:WVJ983137 B65519 IX65519 ST65519 ACP65519 AML65519 AWH65519 BGD65519 BPZ65519 BZV65519 CJR65519 CTN65519 DDJ65519 DNF65519 DXB65519 EGX65519 EQT65519 FAP65519 FKL65519 FUH65519 GED65519 GNZ65519 GXV65519 HHR65519 HRN65519 IBJ65519 ILF65519 IVB65519 JEX65519 JOT65519 JYP65519 KIL65519 KSH65519 LCD65519 LLZ65519 LVV65519 MFR65519 MPN65519 MZJ65519 NJF65519 NTB65519 OCX65519 OMT65519 OWP65519 PGL65519 PQH65519 QAD65519 QJZ65519 QTV65519 RDR65519 RNN65519 RXJ65519 SHF65519 SRB65519 TAX65519 TKT65519 TUP65519 UEL65519 UOH65519 UYD65519 VHZ65519 VRV65519 WBR65519 WLN65519 WVJ65519 B131055 IX131055 ST131055 ACP131055 AML131055 AWH131055 BGD131055 BPZ131055 BZV131055 CJR131055 CTN131055 DDJ131055 DNF131055 DXB131055 EGX131055 EQT131055 FAP131055 FKL131055 FUH131055 GED131055 GNZ131055 GXV131055 HHR131055 HRN131055 IBJ131055 ILF131055 IVB131055 JEX131055 JOT131055 JYP131055 KIL131055 KSH131055 LCD131055 LLZ131055 LVV131055 MFR131055 MPN131055 MZJ131055 NJF131055 NTB131055 OCX131055 OMT131055 OWP131055 PGL131055 PQH131055 QAD131055 QJZ131055 QTV131055 RDR131055 RNN131055 RXJ131055 SHF131055 SRB131055 TAX131055 TKT131055 TUP131055 UEL131055 UOH131055 UYD131055 VHZ131055 VRV131055 WBR131055 WLN131055 WVJ131055 B196591 IX196591 ST196591 ACP196591 AML196591 AWH196591 BGD196591 BPZ196591 BZV196591 CJR196591 CTN196591 DDJ196591 DNF196591 DXB196591 EGX196591 EQT196591 FAP196591 FKL196591 FUH196591 GED196591 GNZ196591 GXV196591 HHR196591 HRN196591 IBJ196591 ILF196591 IVB196591 JEX196591 JOT196591 JYP196591 KIL196591 KSH196591 LCD196591 LLZ196591 LVV196591 MFR196591 MPN196591 MZJ196591 NJF196591 NTB196591 OCX196591 OMT196591 OWP196591 PGL196591 PQH196591 QAD196591 QJZ196591 QTV196591 RDR196591 RNN196591 RXJ196591 SHF196591 SRB196591 TAX196591 TKT196591 TUP196591 UEL196591 UOH196591 UYD196591 VHZ196591 VRV196591 WBR196591 WLN196591 WVJ196591 B262127 IX262127 ST262127 ACP262127 AML262127 AWH262127 BGD262127 BPZ262127 BZV262127 CJR262127 CTN262127 DDJ262127 DNF262127 DXB262127 EGX262127 EQT262127 FAP262127 FKL262127 FUH262127 GED262127 GNZ262127 GXV262127 HHR262127 HRN262127 IBJ262127 ILF262127 IVB262127 JEX262127 JOT262127 JYP262127 KIL262127 KSH262127 LCD262127 LLZ262127 LVV262127 MFR262127 MPN262127 MZJ262127 NJF262127 NTB262127 OCX262127 OMT262127 OWP262127 PGL262127 PQH262127 QAD262127 QJZ262127 QTV262127 RDR262127 RNN262127 RXJ262127 SHF262127 SRB262127 TAX262127 TKT262127 TUP262127 UEL262127 UOH262127 UYD262127 VHZ262127 VRV262127 WBR262127 WLN262127 WVJ262127 B327663 IX327663 ST327663 ACP327663 AML327663 AWH327663 BGD327663 BPZ327663 BZV327663 CJR327663 CTN327663 DDJ327663 DNF327663 DXB327663 EGX327663 EQT327663 FAP327663 FKL327663 FUH327663 GED327663 GNZ327663 GXV327663 HHR327663 HRN327663 IBJ327663 ILF327663 IVB327663 JEX327663 JOT327663 JYP327663 KIL327663 KSH327663 LCD327663 LLZ327663 LVV327663 MFR327663 MPN327663 MZJ327663 NJF327663 NTB327663 OCX327663 OMT327663 OWP327663 PGL327663 PQH327663 QAD327663 QJZ327663 QTV327663 RDR327663 RNN327663 RXJ327663 SHF327663 SRB327663 TAX327663 TKT327663 TUP327663 UEL327663 UOH327663 UYD327663 VHZ327663 VRV327663 WBR327663 WLN327663 WVJ327663 B393199 IX393199 ST393199 ACP393199 AML393199 AWH393199 BGD393199 BPZ393199 BZV393199 CJR393199 CTN393199 DDJ393199 DNF393199 DXB393199 EGX393199 EQT393199 FAP393199 FKL393199 FUH393199 GED393199 GNZ393199 GXV393199 HHR393199 HRN393199 IBJ393199 ILF393199 IVB393199 JEX393199 JOT393199 JYP393199 KIL393199 KSH393199 LCD393199 LLZ393199 LVV393199 MFR393199 MPN393199 MZJ393199 NJF393199 NTB393199 OCX393199 OMT393199 OWP393199 PGL393199 PQH393199 QAD393199 QJZ393199 QTV393199 RDR393199 RNN393199 RXJ393199 SHF393199 SRB393199 TAX393199 TKT393199 TUP393199 UEL393199 UOH393199 UYD393199 VHZ393199 VRV393199 WBR393199 WLN393199 WVJ393199 B458735 IX458735 ST458735 ACP458735 AML458735 AWH458735 BGD458735 BPZ458735 BZV458735 CJR458735 CTN458735 DDJ458735 DNF458735 DXB458735 EGX458735 EQT458735 FAP458735 FKL458735 FUH458735 GED458735 GNZ458735 GXV458735 HHR458735 HRN458735 IBJ458735 ILF458735 IVB458735 JEX458735 JOT458735 JYP458735 KIL458735 KSH458735 LCD458735 LLZ458735 LVV458735 MFR458735 MPN458735 MZJ458735 NJF458735 NTB458735 OCX458735 OMT458735 OWP458735 PGL458735 PQH458735 QAD458735 QJZ458735 QTV458735 RDR458735 RNN458735 RXJ458735 SHF458735 SRB458735 TAX458735 TKT458735 TUP458735 UEL458735 UOH458735 UYD458735 VHZ458735 VRV458735 WBR458735 WLN458735 WVJ458735 B524271 IX524271 ST524271 ACP524271 AML524271 AWH524271 BGD524271 BPZ524271 BZV524271 CJR524271 CTN524271 DDJ524271 DNF524271 DXB524271 EGX524271 EQT524271 FAP524271 FKL524271 FUH524271 GED524271 GNZ524271 GXV524271 HHR524271 HRN524271 IBJ524271 ILF524271 IVB524271 JEX524271 JOT524271 JYP524271 KIL524271 KSH524271 LCD524271 LLZ524271 LVV524271 MFR524271 MPN524271 MZJ524271 NJF524271 NTB524271 OCX524271 OMT524271 OWP524271 PGL524271 PQH524271 QAD524271 QJZ524271 QTV524271 RDR524271 RNN524271 RXJ524271 SHF524271 SRB524271 TAX524271 TKT524271 TUP524271 UEL524271 UOH524271 UYD524271 VHZ524271 VRV524271 WBR524271 WLN524271 WVJ524271 B589807 IX589807 ST589807 ACP589807 AML589807 AWH589807 BGD589807 BPZ589807 BZV589807 CJR589807 CTN589807 DDJ589807 DNF589807 DXB589807 EGX589807 EQT589807 FAP589807 FKL589807 FUH589807 GED589807 GNZ589807 GXV589807 HHR589807 HRN589807 IBJ589807 ILF589807 IVB589807 JEX589807 JOT589807 JYP589807 KIL589807 KSH589807 LCD589807 LLZ589807 LVV589807 MFR589807 MPN589807 MZJ589807 NJF589807 NTB589807 OCX589807 OMT589807 OWP589807 PGL589807 PQH589807 QAD589807 QJZ589807 QTV589807 RDR589807 RNN589807 RXJ589807 SHF589807 SRB589807 TAX589807 TKT589807 TUP589807 UEL589807 UOH589807 UYD589807 VHZ589807 VRV589807 WBR589807 WLN589807 WVJ589807 B655343 IX655343 ST655343 ACP655343 AML655343 AWH655343 BGD655343 BPZ655343 BZV655343 CJR655343 CTN655343 DDJ655343 DNF655343 DXB655343 EGX655343 EQT655343 FAP655343 FKL655343 FUH655343 GED655343 GNZ655343 GXV655343 HHR655343 HRN655343 IBJ655343 ILF655343 IVB655343 JEX655343 JOT655343 JYP655343 KIL655343 KSH655343 LCD655343 LLZ655343 LVV655343 MFR655343 MPN655343 MZJ655343 NJF655343 NTB655343 OCX655343 OMT655343 OWP655343 PGL655343 PQH655343 QAD655343 QJZ655343 QTV655343 RDR655343 RNN655343 RXJ655343 SHF655343 SRB655343 TAX655343 TKT655343 TUP655343 UEL655343 UOH655343 UYD655343 VHZ655343 VRV655343 WBR655343 WLN655343 WVJ655343 B720879 IX720879 ST720879 ACP720879 AML720879 AWH720879 BGD720879 BPZ720879 BZV720879 CJR720879 CTN720879 DDJ720879 DNF720879 DXB720879 EGX720879 EQT720879 FAP720879 FKL720879 FUH720879 GED720879 GNZ720879 GXV720879 HHR720879 HRN720879 IBJ720879 ILF720879 IVB720879 JEX720879 JOT720879 JYP720879 KIL720879 KSH720879 LCD720879 LLZ720879 LVV720879 MFR720879 MPN720879 MZJ720879 NJF720879 NTB720879 OCX720879 OMT720879 OWP720879 PGL720879 PQH720879 QAD720879 QJZ720879 QTV720879 RDR720879 RNN720879 RXJ720879 SHF720879 SRB720879 TAX720879 TKT720879 TUP720879 UEL720879 UOH720879 UYD720879 VHZ720879 VRV720879 WBR720879 WLN720879 WVJ720879 B786415 IX786415 ST786415 ACP786415 AML786415 AWH786415 BGD786415 BPZ786415 BZV786415 CJR786415 CTN786415 DDJ786415 DNF786415 DXB786415 EGX786415 EQT786415 FAP786415 FKL786415 FUH786415 GED786415 GNZ786415 GXV786415 HHR786415 HRN786415 IBJ786415 ILF786415 IVB786415 JEX786415 JOT786415 JYP786415 KIL786415 KSH786415 LCD786415 LLZ786415 LVV786415 MFR786415 MPN786415 MZJ786415 NJF786415 NTB786415 OCX786415 OMT786415 OWP786415 PGL786415 PQH786415 QAD786415 QJZ786415 QTV786415 RDR786415 RNN786415 RXJ786415 SHF786415 SRB786415 TAX786415 TKT786415 TUP786415 UEL786415 UOH786415 UYD786415 VHZ786415 VRV786415 WBR786415 WLN786415 WVJ786415 B851951 IX851951 ST851951 ACP851951 AML851951 AWH851951 BGD851951 BPZ851951 BZV851951 CJR851951 CTN851951 DDJ851951 DNF851951 DXB851951 EGX851951 EQT851951 FAP851951 FKL851951 FUH851951 GED851951 GNZ851951 GXV851951 HHR851951 HRN851951 IBJ851951 ILF851951 IVB851951 JEX851951 JOT851951 JYP851951 KIL851951 KSH851951 LCD851951 LLZ851951 LVV851951 MFR851951 MPN851951 MZJ851951 NJF851951 NTB851951 OCX851951 OMT851951 OWP851951 PGL851951 PQH851951 QAD851951 QJZ851951 QTV851951 RDR851951 RNN851951 RXJ851951 SHF851951 SRB851951 TAX851951 TKT851951 TUP851951 UEL851951 UOH851951 UYD851951 VHZ851951 VRV851951 WBR851951 WLN851951 WVJ851951 B917487 IX917487 ST917487 ACP917487 AML917487 AWH917487 BGD917487 BPZ917487 BZV917487 CJR917487 CTN917487 DDJ917487 DNF917487 DXB917487 EGX917487 EQT917487 FAP917487 FKL917487 FUH917487 GED917487 GNZ917487 GXV917487 HHR917487 HRN917487 IBJ917487 ILF917487 IVB917487 JEX917487 JOT917487 JYP917487 KIL917487 KSH917487 LCD917487 LLZ917487 LVV917487 MFR917487 MPN917487 MZJ917487 NJF917487 NTB917487 OCX917487 OMT917487 OWP917487 PGL917487 PQH917487 QAD917487 QJZ917487 QTV917487 RDR917487 RNN917487 RXJ917487 SHF917487 SRB917487 TAX917487 TKT917487 TUP917487 UEL917487 UOH917487 UYD917487 VHZ917487 VRV917487 WBR917487 WLN917487 WVJ917487 B983023 IX983023 ST983023 ACP983023 AML983023 AWH983023 BGD983023 BPZ983023 BZV983023 CJR983023 CTN983023 DDJ983023 DNF983023 DXB983023 EGX983023 EQT983023 FAP983023 FKL983023 FUH983023 GED983023 GNZ983023 GXV983023 HHR983023 HRN983023 IBJ983023 ILF983023 IVB983023 JEX983023 JOT983023 JYP983023 KIL983023 KSH983023 LCD983023 LLZ983023 LVV983023 MFR983023 MPN983023 MZJ983023 NJF983023 NTB983023 OCX983023 OMT983023 OWP983023 PGL983023 PQH983023 QAD983023 QJZ983023 QTV983023 RDR983023 RNN983023 RXJ983023 SHF983023 SRB983023 TAX983023 TKT983023 TUP983023 UEL983023 UOH983023 UYD983023 VHZ983023 VRV983023 WBR983023 WLN983023 WVJ983023 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B65504 IX65504 ST65504 ACP65504 AML65504 AWH65504 BGD65504 BPZ65504 BZV65504 CJR65504 CTN65504 DDJ65504 DNF65504 DXB65504 EGX65504 EQT65504 FAP65504 FKL65504 FUH65504 GED65504 GNZ65504 GXV65504 HHR65504 HRN65504 IBJ65504 ILF65504 IVB65504 JEX65504 JOT65504 JYP65504 KIL65504 KSH65504 LCD65504 LLZ65504 LVV65504 MFR65504 MPN65504 MZJ65504 NJF65504 NTB65504 OCX65504 OMT65504 OWP65504 PGL65504 PQH65504 QAD65504 QJZ65504 QTV65504 RDR65504 RNN65504 RXJ65504 SHF65504 SRB65504 TAX65504 TKT65504 TUP65504 UEL65504 UOH65504 UYD65504 VHZ65504 VRV65504 WBR65504 WLN65504 WVJ65504 B131040 IX131040 ST131040 ACP131040 AML131040 AWH131040 BGD131040 BPZ131040 BZV131040 CJR131040 CTN131040 DDJ131040 DNF131040 DXB131040 EGX131040 EQT131040 FAP131040 FKL131040 FUH131040 GED131040 GNZ131040 GXV131040 HHR131040 HRN131040 IBJ131040 ILF131040 IVB131040 JEX131040 JOT131040 JYP131040 KIL131040 KSH131040 LCD131040 LLZ131040 LVV131040 MFR131040 MPN131040 MZJ131040 NJF131040 NTB131040 OCX131040 OMT131040 OWP131040 PGL131040 PQH131040 QAD131040 QJZ131040 QTV131040 RDR131040 RNN131040 RXJ131040 SHF131040 SRB131040 TAX131040 TKT131040 TUP131040 UEL131040 UOH131040 UYD131040 VHZ131040 VRV131040 WBR131040 WLN131040 WVJ131040 B196576 IX196576 ST196576 ACP196576 AML196576 AWH196576 BGD196576 BPZ196576 BZV196576 CJR196576 CTN196576 DDJ196576 DNF196576 DXB196576 EGX196576 EQT196576 FAP196576 FKL196576 FUH196576 GED196576 GNZ196576 GXV196576 HHR196576 HRN196576 IBJ196576 ILF196576 IVB196576 JEX196576 JOT196576 JYP196576 KIL196576 KSH196576 LCD196576 LLZ196576 LVV196576 MFR196576 MPN196576 MZJ196576 NJF196576 NTB196576 OCX196576 OMT196576 OWP196576 PGL196576 PQH196576 QAD196576 QJZ196576 QTV196576 RDR196576 RNN196576 RXJ196576 SHF196576 SRB196576 TAX196576 TKT196576 TUP196576 UEL196576 UOH196576 UYD196576 VHZ196576 VRV196576 WBR196576 WLN196576 WVJ196576 B262112 IX262112 ST262112 ACP262112 AML262112 AWH262112 BGD262112 BPZ262112 BZV262112 CJR262112 CTN262112 DDJ262112 DNF262112 DXB262112 EGX262112 EQT262112 FAP262112 FKL262112 FUH262112 GED262112 GNZ262112 GXV262112 HHR262112 HRN262112 IBJ262112 ILF262112 IVB262112 JEX262112 JOT262112 JYP262112 KIL262112 KSH262112 LCD262112 LLZ262112 LVV262112 MFR262112 MPN262112 MZJ262112 NJF262112 NTB262112 OCX262112 OMT262112 OWP262112 PGL262112 PQH262112 QAD262112 QJZ262112 QTV262112 RDR262112 RNN262112 RXJ262112 SHF262112 SRB262112 TAX262112 TKT262112 TUP262112 UEL262112 UOH262112 UYD262112 VHZ262112 VRV262112 WBR262112 WLN262112 WVJ262112 B327648 IX327648 ST327648 ACP327648 AML327648 AWH327648 BGD327648 BPZ327648 BZV327648 CJR327648 CTN327648 DDJ327648 DNF327648 DXB327648 EGX327648 EQT327648 FAP327648 FKL327648 FUH327648 GED327648 GNZ327648 GXV327648 HHR327648 HRN327648 IBJ327648 ILF327648 IVB327648 JEX327648 JOT327648 JYP327648 KIL327648 KSH327648 LCD327648 LLZ327648 LVV327648 MFR327648 MPN327648 MZJ327648 NJF327648 NTB327648 OCX327648 OMT327648 OWP327648 PGL327648 PQH327648 QAD327648 QJZ327648 QTV327648 RDR327648 RNN327648 RXJ327648 SHF327648 SRB327648 TAX327648 TKT327648 TUP327648 UEL327648 UOH327648 UYD327648 VHZ327648 VRV327648 WBR327648 WLN327648 WVJ327648 B393184 IX393184 ST393184 ACP393184 AML393184 AWH393184 BGD393184 BPZ393184 BZV393184 CJR393184 CTN393184 DDJ393184 DNF393184 DXB393184 EGX393184 EQT393184 FAP393184 FKL393184 FUH393184 GED393184 GNZ393184 GXV393184 HHR393184 HRN393184 IBJ393184 ILF393184 IVB393184 JEX393184 JOT393184 JYP393184 KIL393184 KSH393184 LCD393184 LLZ393184 LVV393184 MFR393184 MPN393184 MZJ393184 NJF393184 NTB393184 OCX393184 OMT393184 OWP393184 PGL393184 PQH393184 QAD393184 QJZ393184 QTV393184 RDR393184 RNN393184 RXJ393184 SHF393184 SRB393184 TAX393184 TKT393184 TUP393184 UEL393184 UOH393184 UYD393184 VHZ393184 VRV393184 WBR393184 WLN393184 WVJ393184 B458720 IX458720 ST458720 ACP458720 AML458720 AWH458720 BGD458720 BPZ458720 BZV458720 CJR458720 CTN458720 DDJ458720 DNF458720 DXB458720 EGX458720 EQT458720 FAP458720 FKL458720 FUH458720 GED458720 GNZ458720 GXV458720 HHR458720 HRN458720 IBJ458720 ILF458720 IVB458720 JEX458720 JOT458720 JYP458720 KIL458720 KSH458720 LCD458720 LLZ458720 LVV458720 MFR458720 MPN458720 MZJ458720 NJF458720 NTB458720 OCX458720 OMT458720 OWP458720 PGL458720 PQH458720 QAD458720 QJZ458720 QTV458720 RDR458720 RNN458720 RXJ458720 SHF458720 SRB458720 TAX458720 TKT458720 TUP458720 UEL458720 UOH458720 UYD458720 VHZ458720 VRV458720 WBR458720 WLN458720 WVJ458720 B524256 IX524256 ST524256 ACP524256 AML524256 AWH524256 BGD524256 BPZ524256 BZV524256 CJR524256 CTN524256 DDJ524256 DNF524256 DXB524256 EGX524256 EQT524256 FAP524256 FKL524256 FUH524256 GED524256 GNZ524256 GXV524256 HHR524256 HRN524256 IBJ524256 ILF524256 IVB524256 JEX524256 JOT524256 JYP524256 KIL524256 KSH524256 LCD524256 LLZ524256 LVV524256 MFR524256 MPN524256 MZJ524256 NJF524256 NTB524256 OCX524256 OMT524256 OWP524256 PGL524256 PQH524256 QAD524256 QJZ524256 QTV524256 RDR524256 RNN524256 RXJ524256 SHF524256 SRB524256 TAX524256 TKT524256 TUP524256 UEL524256 UOH524256 UYD524256 VHZ524256 VRV524256 WBR524256 WLN524256 WVJ524256 B589792 IX589792 ST589792 ACP589792 AML589792 AWH589792 BGD589792 BPZ589792 BZV589792 CJR589792 CTN589792 DDJ589792 DNF589792 DXB589792 EGX589792 EQT589792 FAP589792 FKL589792 FUH589792 GED589792 GNZ589792 GXV589792 HHR589792 HRN589792 IBJ589792 ILF589792 IVB589792 JEX589792 JOT589792 JYP589792 KIL589792 KSH589792 LCD589792 LLZ589792 LVV589792 MFR589792 MPN589792 MZJ589792 NJF589792 NTB589792 OCX589792 OMT589792 OWP589792 PGL589792 PQH589792 QAD589792 QJZ589792 QTV589792 RDR589792 RNN589792 RXJ589792 SHF589792 SRB589792 TAX589792 TKT589792 TUP589792 UEL589792 UOH589792 UYD589792 VHZ589792 VRV589792 WBR589792 WLN589792 WVJ589792 B655328 IX655328 ST655328 ACP655328 AML655328 AWH655328 BGD655328 BPZ655328 BZV655328 CJR655328 CTN655328 DDJ655328 DNF655328 DXB655328 EGX655328 EQT655328 FAP655328 FKL655328 FUH655328 GED655328 GNZ655328 GXV655328 HHR655328 HRN655328 IBJ655328 ILF655328 IVB655328 JEX655328 JOT655328 JYP655328 KIL655328 KSH655328 LCD655328 LLZ655328 LVV655328 MFR655328 MPN655328 MZJ655328 NJF655328 NTB655328 OCX655328 OMT655328 OWP655328 PGL655328 PQH655328 QAD655328 QJZ655328 QTV655328 RDR655328 RNN655328 RXJ655328 SHF655328 SRB655328 TAX655328 TKT655328 TUP655328 UEL655328 UOH655328 UYD655328 VHZ655328 VRV655328 WBR655328 WLN655328 WVJ655328 B720864 IX720864 ST720864 ACP720864 AML720864 AWH720864 BGD720864 BPZ720864 BZV720864 CJR720864 CTN720864 DDJ720864 DNF720864 DXB720864 EGX720864 EQT720864 FAP720864 FKL720864 FUH720864 GED720864 GNZ720864 GXV720864 HHR720864 HRN720864 IBJ720864 ILF720864 IVB720864 JEX720864 JOT720864 JYP720864 KIL720864 KSH720864 LCD720864 LLZ720864 LVV720864 MFR720864 MPN720864 MZJ720864 NJF720864 NTB720864 OCX720864 OMT720864 OWP720864 PGL720864 PQH720864 QAD720864 QJZ720864 QTV720864 RDR720864 RNN720864 RXJ720864 SHF720864 SRB720864 TAX720864 TKT720864 TUP720864 UEL720864 UOH720864 UYD720864 VHZ720864 VRV720864 WBR720864 WLN720864 WVJ720864 B786400 IX786400 ST786400 ACP786400 AML786400 AWH786400 BGD786400 BPZ786400 BZV786400 CJR786400 CTN786400 DDJ786400 DNF786400 DXB786400 EGX786400 EQT786400 FAP786400 FKL786400 FUH786400 GED786400 GNZ786400 GXV786400 HHR786400 HRN786400 IBJ786400 ILF786400 IVB786400 JEX786400 JOT786400 JYP786400 KIL786400 KSH786400 LCD786400 LLZ786400 LVV786400 MFR786400 MPN786400 MZJ786400 NJF786400 NTB786400 OCX786400 OMT786400 OWP786400 PGL786400 PQH786400 QAD786400 QJZ786400 QTV786400 RDR786400 RNN786400 RXJ786400 SHF786400 SRB786400 TAX786400 TKT786400 TUP786400 UEL786400 UOH786400 UYD786400 VHZ786400 VRV786400 WBR786400 WLN786400 WVJ786400 B851936 IX851936 ST851936 ACP851936 AML851936 AWH851936 BGD851936 BPZ851936 BZV851936 CJR851936 CTN851936 DDJ851936 DNF851936 DXB851936 EGX851936 EQT851936 FAP851936 FKL851936 FUH851936 GED851936 GNZ851936 GXV851936 HHR851936 HRN851936 IBJ851936 ILF851936 IVB851936 JEX851936 JOT851936 JYP851936 KIL851936 KSH851936 LCD851936 LLZ851936 LVV851936 MFR851936 MPN851936 MZJ851936 NJF851936 NTB851936 OCX851936 OMT851936 OWP851936 PGL851936 PQH851936 QAD851936 QJZ851936 QTV851936 RDR851936 RNN851936 RXJ851936 SHF851936 SRB851936 TAX851936 TKT851936 TUP851936 UEL851936 UOH851936 UYD851936 VHZ851936 VRV851936 WBR851936 WLN851936 WVJ851936 B917472 IX917472 ST917472 ACP917472 AML917472 AWH917472 BGD917472 BPZ917472 BZV917472 CJR917472 CTN917472 DDJ917472 DNF917472 DXB917472 EGX917472 EQT917472 FAP917472 FKL917472 FUH917472 GED917472 GNZ917472 GXV917472 HHR917472 HRN917472 IBJ917472 ILF917472 IVB917472 JEX917472 JOT917472 JYP917472 KIL917472 KSH917472 LCD917472 LLZ917472 LVV917472 MFR917472 MPN917472 MZJ917472 NJF917472 NTB917472 OCX917472 OMT917472 OWP917472 PGL917472 PQH917472 QAD917472 QJZ917472 QTV917472 RDR917472 RNN917472 RXJ917472 SHF917472 SRB917472 TAX917472 TKT917472 TUP917472 UEL917472 UOH917472 UYD917472 VHZ917472 VRV917472 WBR917472 WLN917472 WVJ917472 B983008 IX983008 ST983008 ACP983008 AML983008 AWH983008 BGD983008 BPZ983008 BZV983008 CJR983008 CTN983008 DDJ983008 DNF983008 DXB983008 EGX983008 EQT983008 FAP983008 FKL983008 FUH983008 GED983008 GNZ983008 GXV983008 HHR983008 HRN983008 IBJ983008 ILF983008 IVB983008 JEX983008 JOT983008 JYP983008 KIL983008 KSH983008 LCD983008 LLZ983008 LVV983008 MFR983008 MPN983008 MZJ983008 NJF983008 NTB983008 OCX983008 OMT983008 OWP983008 PGL983008 PQH983008 QAD983008 QJZ983008 QTV983008 RDR983008 RNN983008 RXJ983008 SHF983008 SRB983008 TAX983008 TKT983008 TUP983008 UEL983008 UOH983008 UYD983008 VHZ983008 VRV983008 WBR983008 WLN983008 WVJ983008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VRV983055:VRV983057 WBR983055:WBR983057 WLN983055:WLN983057 WVJ983055:WVJ983057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O50"/>
  <sheetViews>
    <sheetView workbookViewId="0">
      <selection activeCell="K14" sqref="A14:K14"/>
    </sheetView>
  </sheetViews>
  <sheetFormatPr defaultRowHeight="14.4" x14ac:dyDescent="0.3"/>
  <cols>
    <col min="13" max="13" width="12.5546875" customWidth="1"/>
    <col min="14" max="14" width="12.6640625" bestFit="1" customWidth="1"/>
  </cols>
  <sheetData>
    <row r="1" spans="1:15" ht="15" thickBot="1" x14ac:dyDescent="0.35">
      <c r="A1" s="6" t="s">
        <v>1161</v>
      </c>
      <c r="B1" s="7" t="s">
        <v>1161</v>
      </c>
      <c r="C1" s="8" t="s">
        <v>1252</v>
      </c>
      <c r="D1" s="7" t="s">
        <v>1253</v>
      </c>
      <c r="E1" s="7" t="s">
        <v>1254</v>
      </c>
      <c r="F1" s="7" t="s">
        <v>1255</v>
      </c>
      <c r="G1" s="7" t="s">
        <v>1254</v>
      </c>
      <c r="H1" s="7" t="s">
        <v>1252</v>
      </c>
      <c r="I1" s="7" t="s">
        <v>1254</v>
      </c>
      <c r="J1" s="7" t="s">
        <v>1252</v>
      </c>
      <c r="K1" s="7" t="s">
        <v>1254</v>
      </c>
      <c r="L1" s="7" t="s">
        <v>1256</v>
      </c>
      <c r="M1" s="7" t="s">
        <v>1257</v>
      </c>
      <c r="N1" s="24" t="s">
        <v>1257</v>
      </c>
      <c r="O1" s="7" t="s">
        <v>1273</v>
      </c>
    </row>
    <row r="2" spans="1:15" ht="15.75" thickBot="1" x14ac:dyDescent="0.3">
      <c r="A2" s="9"/>
      <c r="B2" s="10" t="s">
        <v>1258</v>
      </c>
      <c r="C2" s="11" t="s">
        <v>1259</v>
      </c>
      <c r="D2" s="10"/>
      <c r="E2" s="10"/>
      <c r="F2" s="10"/>
      <c r="G2" s="10"/>
      <c r="H2" s="10" t="s">
        <v>1260</v>
      </c>
      <c r="I2" s="10"/>
      <c r="J2" s="10" t="s">
        <v>1259</v>
      </c>
      <c r="K2" s="10"/>
      <c r="L2" s="10" t="s">
        <v>1261</v>
      </c>
      <c r="M2" s="10" t="s">
        <v>1271</v>
      </c>
      <c r="N2" s="25" t="s">
        <v>1272</v>
      </c>
      <c r="O2" s="22" t="s">
        <v>1274</v>
      </c>
    </row>
    <row r="3" spans="1:15" ht="15.75" thickBot="1" x14ac:dyDescent="0.3">
      <c r="A3" s="12" t="s">
        <v>1214</v>
      </c>
      <c r="B3" s="13">
        <v>750</v>
      </c>
      <c r="C3" s="14" t="s">
        <v>1244</v>
      </c>
      <c r="D3" s="13">
        <v>1</v>
      </c>
      <c r="E3" s="16">
        <v>1497</v>
      </c>
      <c r="F3" s="13">
        <v>1</v>
      </c>
      <c r="G3" s="16">
        <v>3845</v>
      </c>
      <c r="H3" s="13">
        <v>2</v>
      </c>
      <c r="I3" s="16">
        <v>5959</v>
      </c>
      <c r="J3" s="13"/>
      <c r="K3" s="13"/>
      <c r="L3" s="16">
        <v>3357</v>
      </c>
      <c r="M3" s="16">
        <v>14658</v>
      </c>
      <c r="N3" s="16">
        <v>14658</v>
      </c>
      <c r="O3" s="23">
        <v>0</v>
      </c>
    </row>
    <row r="4" spans="1:15" ht="15.75" thickBot="1" x14ac:dyDescent="0.3">
      <c r="A4" s="12" t="s">
        <v>1215</v>
      </c>
      <c r="B4" s="13">
        <v>751</v>
      </c>
      <c r="C4" s="14" t="s">
        <v>1244</v>
      </c>
      <c r="D4" s="13">
        <v>3</v>
      </c>
      <c r="E4" s="16">
        <v>8220</v>
      </c>
      <c r="F4" s="13">
        <v>2</v>
      </c>
      <c r="G4" s="16">
        <v>7690</v>
      </c>
      <c r="H4" s="13">
        <v>1</v>
      </c>
      <c r="I4" s="16">
        <v>1987</v>
      </c>
      <c r="J4" s="13"/>
      <c r="K4" s="13"/>
      <c r="L4" s="16">
        <v>3357</v>
      </c>
      <c r="M4" s="16">
        <v>21254</v>
      </c>
      <c r="N4" s="16">
        <v>21254</v>
      </c>
      <c r="O4" s="23">
        <v>0</v>
      </c>
    </row>
    <row r="5" spans="1:15" ht="15.75" thickBot="1" x14ac:dyDescent="0.3">
      <c r="A5" s="12" t="s">
        <v>1216</v>
      </c>
      <c r="B5" s="13">
        <v>752</v>
      </c>
      <c r="C5" s="14" t="s">
        <v>1244</v>
      </c>
      <c r="D5" s="13">
        <v>4</v>
      </c>
      <c r="E5" s="16">
        <v>12711</v>
      </c>
      <c r="F5" s="13">
        <v>1</v>
      </c>
      <c r="G5" s="16">
        <v>3845</v>
      </c>
      <c r="H5" s="13">
        <v>2</v>
      </c>
      <c r="I5" s="16">
        <v>5959</v>
      </c>
      <c r="J5" s="13"/>
      <c r="K5" s="13"/>
      <c r="L5" s="16">
        <v>3357</v>
      </c>
      <c r="M5" s="16">
        <v>25872</v>
      </c>
      <c r="N5" s="16">
        <v>25872</v>
      </c>
      <c r="O5" s="23">
        <v>0</v>
      </c>
    </row>
    <row r="6" spans="1:15" ht="15.75" thickBot="1" x14ac:dyDescent="0.3">
      <c r="A6" s="12" t="s">
        <v>1217</v>
      </c>
      <c r="B6" s="13">
        <v>753</v>
      </c>
      <c r="C6" s="14" t="s">
        <v>1244</v>
      </c>
      <c r="D6" s="13">
        <v>4</v>
      </c>
      <c r="E6" s="16">
        <v>12711</v>
      </c>
      <c r="F6" s="13">
        <v>2</v>
      </c>
      <c r="G6" s="16">
        <v>7690</v>
      </c>
      <c r="H6" s="13">
        <v>3</v>
      </c>
      <c r="I6" s="16">
        <v>10907</v>
      </c>
      <c r="J6" s="13"/>
      <c r="K6" s="13"/>
      <c r="L6" s="16">
        <v>3357</v>
      </c>
      <c r="M6" s="16">
        <v>34665</v>
      </c>
      <c r="N6" s="16">
        <v>34665</v>
      </c>
      <c r="O6" s="23">
        <v>0</v>
      </c>
    </row>
    <row r="7" spans="1:15" ht="15.75" thickBot="1" x14ac:dyDescent="0.3">
      <c r="A7" s="12" t="s">
        <v>1218</v>
      </c>
      <c r="B7" s="13">
        <v>754</v>
      </c>
      <c r="C7" s="14" t="s">
        <v>1244</v>
      </c>
      <c r="D7" s="13">
        <v>4</v>
      </c>
      <c r="E7" s="16">
        <v>12711</v>
      </c>
      <c r="F7" s="13">
        <v>3</v>
      </c>
      <c r="G7" s="16">
        <v>14099</v>
      </c>
      <c r="H7" s="13">
        <v>4</v>
      </c>
      <c r="I7" s="16">
        <v>16866</v>
      </c>
      <c r="J7" s="13"/>
      <c r="K7" s="13"/>
      <c r="L7" s="16">
        <v>3357</v>
      </c>
      <c r="M7" s="16">
        <v>47033</v>
      </c>
      <c r="N7" s="16">
        <v>47033</v>
      </c>
      <c r="O7" s="23">
        <v>0</v>
      </c>
    </row>
    <row r="8" spans="1:15" ht="15.75" thickBot="1" x14ac:dyDescent="0.3">
      <c r="A8" s="12" t="s">
        <v>1219</v>
      </c>
      <c r="B8" s="13">
        <v>755</v>
      </c>
      <c r="C8" s="14" t="s">
        <v>1244</v>
      </c>
      <c r="D8" s="13">
        <v>4</v>
      </c>
      <c r="E8" s="16">
        <v>12711</v>
      </c>
      <c r="F8" s="13">
        <v>3</v>
      </c>
      <c r="G8" s="16">
        <v>14099</v>
      </c>
      <c r="H8" s="13">
        <v>4</v>
      </c>
      <c r="I8" s="16">
        <v>16866</v>
      </c>
      <c r="J8" s="13"/>
      <c r="K8" s="13"/>
      <c r="L8" s="16">
        <v>3357</v>
      </c>
      <c r="M8" s="16">
        <v>47033</v>
      </c>
      <c r="N8" s="16">
        <v>47033</v>
      </c>
      <c r="O8" s="23">
        <v>0</v>
      </c>
    </row>
    <row r="9" spans="1:15" ht="15.75" thickBot="1" x14ac:dyDescent="0.3">
      <c r="A9" s="12" t="s">
        <v>1220</v>
      </c>
      <c r="B9" s="13">
        <v>756</v>
      </c>
      <c r="C9" s="14" t="s">
        <v>1244</v>
      </c>
      <c r="D9" s="13">
        <v>4</v>
      </c>
      <c r="E9" s="16">
        <v>12711</v>
      </c>
      <c r="F9" s="13">
        <v>3</v>
      </c>
      <c r="G9" s="16">
        <v>14099</v>
      </c>
      <c r="H9" s="13">
        <v>6</v>
      </c>
      <c r="I9" s="16">
        <v>28748</v>
      </c>
      <c r="J9" s="13"/>
      <c r="K9" s="13"/>
      <c r="L9" s="16">
        <v>3357</v>
      </c>
      <c r="M9" s="16">
        <v>58915</v>
      </c>
      <c r="N9" s="16">
        <v>58915</v>
      </c>
      <c r="O9" s="23">
        <v>0</v>
      </c>
    </row>
    <row r="10" spans="1:15" ht="15.75" thickBot="1" x14ac:dyDescent="0.3">
      <c r="A10" s="12" t="s">
        <v>1221</v>
      </c>
      <c r="B10" s="13">
        <v>757</v>
      </c>
      <c r="C10" s="14" t="s">
        <v>1244</v>
      </c>
      <c r="D10" s="13">
        <v>5</v>
      </c>
      <c r="E10" s="16">
        <v>17176</v>
      </c>
      <c r="F10" s="13">
        <v>3</v>
      </c>
      <c r="G10" s="16">
        <v>14099</v>
      </c>
      <c r="H10" s="13">
        <v>7</v>
      </c>
      <c r="I10" s="16">
        <v>35682</v>
      </c>
      <c r="J10" s="13"/>
      <c r="K10" s="13"/>
      <c r="L10" s="16">
        <v>3357</v>
      </c>
      <c r="M10" s="16">
        <v>70314</v>
      </c>
      <c r="N10" s="16">
        <v>70314</v>
      </c>
      <c r="O10" s="23">
        <v>0</v>
      </c>
    </row>
    <row r="11" spans="1:15" ht="15.75" thickBot="1" x14ac:dyDescent="0.3">
      <c r="A11" s="12" t="s">
        <v>1222</v>
      </c>
      <c r="B11" s="13">
        <v>191</v>
      </c>
      <c r="C11" s="14" t="s">
        <v>1244</v>
      </c>
      <c r="D11" s="13">
        <v>5</v>
      </c>
      <c r="E11" s="16">
        <v>17176</v>
      </c>
      <c r="F11" s="13">
        <v>2</v>
      </c>
      <c r="G11" s="16">
        <v>7690</v>
      </c>
      <c r="H11" s="13">
        <v>4</v>
      </c>
      <c r="I11" s="16">
        <v>16866</v>
      </c>
      <c r="J11" s="13"/>
      <c r="K11" s="13"/>
      <c r="L11" s="16">
        <v>3357</v>
      </c>
      <c r="M11" s="16">
        <v>45089</v>
      </c>
      <c r="N11" s="16">
        <v>45089</v>
      </c>
      <c r="O11" s="23">
        <v>0</v>
      </c>
    </row>
    <row r="12" spans="1:15" ht="15.75" thickBot="1" x14ac:dyDescent="0.3">
      <c r="A12" s="12" t="s">
        <v>1223</v>
      </c>
      <c r="B12" s="13">
        <v>759</v>
      </c>
      <c r="C12" s="14" t="s">
        <v>1244</v>
      </c>
      <c r="D12" s="13">
        <v>7</v>
      </c>
      <c r="E12" s="16">
        <v>26894</v>
      </c>
      <c r="F12" s="13">
        <v>5</v>
      </c>
      <c r="G12" s="16">
        <v>29480</v>
      </c>
      <c r="H12" s="13">
        <v>4</v>
      </c>
      <c r="I12" s="16">
        <v>16866</v>
      </c>
      <c r="J12" s="13"/>
      <c r="K12" s="13"/>
      <c r="L12" s="16">
        <v>3357</v>
      </c>
      <c r="M12" s="16">
        <v>76597</v>
      </c>
      <c r="N12" s="16">
        <v>76597</v>
      </c>
      <c r="O12" s="23">
        <v>0</v>
      </c>
    </row>
    <row r="13" spans="1:15" ht="15.75" thickBot="1" x14ac:dyDescent="0.3">
      <c r="A13" s="12" t="s">
        <v>1263</v>
      </c>
      <c r="B13" s="13">
        <v>860</v>
      </c>
      <c r="C13" s="14" t="s">
        <v>1148</v>
      </c>
      <c r="D13" s="13">
        <v>1</v>
      </c>
      <c r="E13" s="16">
        <v>1497</v>
      </c>
      <c r="F13" s="13">
        <v>0</v>
      </c>
      <c r="G13" s="16">
        <v>1281</v>
      </c>
      <c r="H13" s="13">
        <v>3</v>
      </c>
      <c r="I13" s="16">
        <v>10907</v>
      </c>
      <c r="J13" s="13"/>
      <c r="K13" s="13"/>
      <c r="L13" s="16">
        <v>3357</v>
      </c>
      <c r="M13" s="16">
        <v>17042</v>
      </c>
      <c r="N13" s="16">
        <v>17042</v>
      </c>
      <c r="O13" s="23">
        <v>0</v>
      </c>
    </row>
    <row r="14" spans="1:15" ht="15.75" thickBot="1" x14ac:dyDescent="0.3">
      <c r="A14" s="12" t="s">
        <v>1263</v>
      </c>
      <c r="B14" s="13">
        <v>860</v>
      </c>
      <c r="C14" s="14" t="s">
        <v>1264</v>
      </c>
      <c r="D14" s="13">
        <v>1</v>
      </c>
      <c r="E14" s="16">
        <v>1497</v>
      </c>
      <c r="F14" s="13">
        <v>0</v>
      </c>
      <c r="G14" s="16">
        <v>1281</v>
      </c>
      <c r="H14" s="13">
        <v>3</v>
      </c>
      <c r="I14" s="16">
        <v>10907</v>
      </c>
      <c r="J14" s="13">
        <v>4</v>
      </c>
      <c r="K14" s="16">
        <v>9803</v>
      </c>
      <c r="L14" s="16">
        <v>3357</v>
      </c>
      <c r="M14" s="16">
        <v>26845</v>
      </c>
      <c r="N14" s="16">
        <v>26845</v>
      </c>
      <c r="O14" s="15">
        <f>N14-M14</f>
        <v>0</v>
      </c>
    </row>
    <row r="15" spans="1:15" ht="15.75" thickBot="1" x14ac:dyDescent="0.3">
      <c r="A15" s="17" t="s">
        <v>1265</v>
      </c>
      <c r="B15" s="18">
        <v>862</v>
      </c>
      <c r="C15" s="19" t="s">
        <v>1148</v>
      </c>
      <c r="D15" s="18">
        <v>1</v>
      </c>
      <c r="E15" s="20">
        <v>1497</v>
      </c>
      <c r="F15" s="18">
        <v>0</v>
      </c>
      <c r="G15" s="20">
        <v>1281</v>
      </c>
      <c r="H15" s="18">
        <v>4</v>
      </c>
      <c r="I15" s="20">
        <v>16866</v>
      </c>
      <c r="J15" s="18"/>
      <c r="K15" s="18"/>
      <c r="L15" s="20">
        <v>3357</v>
      </c>
      <c r="M15" s="20">
        <v>23001</v>
      </c>
      <c r="N15" s="20">
        <v>33975</v>
      </c>
      <c r="O15" s="15">
        <f t="shared" ref="O15:O50" si="0">N15-M15</f>
        <v>10974</v>
      </c>
    </row>
    <row r="16" spans="1:15" ht="15.75" thickBot="1" x14ac:dyDescent="0.3">
      <c r="A16" s="12" t="s">
        <v>1266</v>
      </c>
      <c r="B16" s="13">
        <v>864</v>
      </c>
      <c r="C16" s="14" t="s">
        <v>1148</v>
      </c>
      <c r="D16" s="13">
        <v>1</v>
      </c>
      <c r="E16" s="16">
        <v>1497</v>
      </c>
      <c r="F16" s="13">
        <v>0</v>
      </c>
      <c r="G16" s="16">
        <v>1281</v>
      </c>
      <c r="H16" s="13">
        <v>5</v>
      </c>
      <c r="I16" s="16">
        <v>22788</v>
      </c>
      <c r="J16" s="13"/>
      <c r="K16" s="13"/>
      <c r="L16" s="16">
        <v>3357</v>
      </c>
      <c r="M16" s="16">
        <v>28923</v>
      </c>
      <c r="N16" s="16">
        <v>39897</v>
      </c>
      <c r="O16" s="15">
        <f t="shared" si="0"/>
        <v>10974</v>
      </c>
    </row>
    <row r="17" spans="1:15" ht="15.75" thickBot="1" x14ac:dyDescent="0.3">
      <c r="A17" s="17" t="s">
        <v>1267</v>
      </c>
      <c r="B17" s="18">
        <v>766</v>
      </c>
      <c r="C17" s="19" t="s">
        <v>1148</v>
      </c>
      <c r="D17" s="18">
        <v>3</v>
      </c>
      <c r="E17" s="20">
        <v>8220</v>
      </c>
      <c r="F17" s="18">
        <v>1</v>
      </c>
      <c r="G17" s="20">
        <v>3845</v>
      </c>
      <c r="H17" s="18">
        <v>4</v>
      </c>
      <c r="I17" s="20">
        <v>16866</v>
      </c>
      <c r="J17" s="18"/>
      <c r="K17" s="18"/>
      <c r="L17" s="20">
        <v>3357</v>
      </c>
      <c r="M17" s="20">
        <v>32288</v>
      </c>
      <c r="N17" s="20">
        <v>43262</v>
      </c>
      <c r="O17" s="15">
        <f t="shared" si="0"/>
        <v>10974</v>
      </c>
    </row>
    <row r="18" spans="1:15" ht="15.75" thickBot="1" x14ac:dyDescent="0.3">
      <c r="A18" s="12" t="s">
        <v>1268</v>
      </c>
      <c r="B18" s="13">
        <v>768</v>
      </c>
      <c r="C18" s="14" t="s">
        <v>1148</v>
      </c>
      <c r="D18" s="13">
        <v>2</v>
      </c>
      <c r="E18" s="16">
        <v>4491</v>
      </c>
      <c r="F18" s="13">
        <v>1</v>
      </c>
      <c r="G18" s="16">
        <v>3845</v>
      </c>
      <c r="H18" s="13">
        <v>5</v>
      </c>
      <c r="I18" s="16">
        <v>22788</v>
      </c>
      <c r="J18" s="13"/>
      <c r="K18" s="13"/>
      <c r="L18" s="16">
        <v>3357</v>
      </c>
      <c r="M18" s="16">
        <v>34481</v>
      </c>
      <c r="N18" s="16">
        <v>48202</v>
      </c>
      <c r="O18" s="15">
        <f t="shared" si="0"/>
        <v>13721</v>
      </c>
    </row>
    <row r="19" spans="1:15" ht="15.75" thickBot="1" x14ac:dyDescent="0.3">
      <c r="A19" s="17" t="s">
        <v>1269</v>
      </c>
      <c r="B19" s="18">
        <v>770</v>
      </c>
      <c r="C19" s="19" t="s">
        <v>1148</v>
      </c>
      <c r="D19" s="18">
        <v>4</v>
      </c>
      <c r="E19" s="20">
        <v>12711</v>
      </c>
      <c r="F19" s="18">
        <v>2</v>
      </c>
      <c r="G19" s="20">
        <v>7690</v>
      </c>
      <c r="H19" s="18">
        <v>5</v>
      </c>
      <c r="I19" s="20">
        <v>22788</v>
      </c>
      <c r="J19" s="18"/>
      <c r="K19" s="18"/>
      <c r="L19" s="20">
        <v>3357</v>
      </c>
      <c r="M19" s="20">
        <v>46546</v>
      </c>
      <c r="N19" s="20">
        <v>57520</v>
      </c>
      <c r="O19" s="15">
        <f t="shared" si="0"/>
        <v>10974</v>
      </c>
    </row>
    <row r="20" spans="1:15" ht="15.75" thickBot="1" x14ac:dyDescent="0.3">
      <c r="A20" s="12" t="s">
        <v>1270</v>
      </c>
      <c r="B20" s="13">
        <v>772</v>
      </c>
      <c r="C20" s="14" t="s">
        <v>1148</v>
      </c>
      <c r="D20" s="13">
        <v>3</v>
      </c>
      <c r="E20" s="16">
        <v>8220</v>
      </c>
      <c r="F20" s="13">
        <v>2</v>
      </c>
      <c r="G20" s="16">
        <v>7690</v>
      </c>
      <c r="H20" s="13">
        <v>7</v>
      </c>
      <c r="I20" s="16">
        <v>35682</v>
      </c>
      <c r="J20" s="13"/>
      <c r="K20" s="13"/>
      <c r="L20" s="16">
        <v>3357</v>
      </c>
      <c r="M20" s="16">
        <v>54949</v>
      </c>
      <c r="N20" s="16">
        <v>68670</v>
      </c>
      <c r="O20" s="15">
        <f t="shared" si="0"/>
        <v>13721</v>
      </c>
    </row>
    <row r="21" spans="1:15" ht="15.75" thickBot="1" x14ac:dyDescent="0.3">
      <c r="A21" s="17" t="s">
        <v>1238</v>
      </c>
      <c r="B21" s="18">
        <v>780</v>
      </c>
      <c r="C21" s="19" t="s">
        <v>1148</v>
      </c>
      <c r="D21" s="18">
        <v>2</v>
      </c>
      <c r="E21" s="20">
        <v>4491</v>
      </c>
      <c r="F21" s="18"/>
      <c r="G21" s="18"/>
      <c r="H21" s="18">
        <v>4</v>
      </c>
      <c r="I21" s="20">
        <v>16866</v>
      </c>
      <c r="J21" s="18"/>
      <c r="K21" s="18"/>
      <c r="L21" s="20">
        <v>3357</v>
      </c>
      <c r="M21" s="20">
        <v>24714</v>
      </c>
      <c r="N21" s="20">
        <v>27458</v>
      </c>
      <c r="O21" s="15">
        <f t="shared" si="0"/>
        <v>2744</v>
      </c>
    </row>
    <row r="22" spans="1:15" ht="15.75" thickBot="1" x14ac:dyDescent="0.3">
      <c r="A22" s="12" t="s">
        <v>1239</v>
      </c>
      <c r="B22" s="13">
        <v>781</v>
      </c>
      <c r="C22" s="14" t="s">
        <v>1148</v>
      </c>
      <c r="D22" s="13">
        <v>2</v>
      </c>
      <c r="E22" s="16">
        <v>4491</v>
      </c>
      <c r="F22" s="13"/>
      <c r="G22" s="13"/>
      <c r="H22" s="13">
        <v>6</v>
      </c>
      <c r="I22" s="16">
        <v>28748</v>
      </c>
      <c r="J22" s="13"/>
      <c r="K22" s="13"/>
      <c r="L22" s="16">
        <v>3357</v>
      </c>
      <c r="M22" s="16">
        <v>36596</v>
      </c>
      <c r="N22" s="16">
        <v>39340</v>
      </c>
      <c r="O22" s="15">
        <f t="shared" si="0"/>
        <v>2744</v>
      </c>
    </row>
    <row r="23" spans="1:15" ht="15.75" thickBot="1" x14ac:dyDescent="0.3">
      <c r="A23" s="17" t="s">
        <v>1240</v>
      </c>
      <c r="B23" s="18">
        <v>782</v>
      </c>
      <c r="C23" s="19" t="s">
        <v>1148</v>
      </c>
      <c r="D23" s="18">
        <v>4</v>
      </c>
      <c r="E23" s="20">
        <v>12711</v>
      </c>
      <c r="F23" s="18"/>
      <c r="G23" s="18"/>
      <c r="H23" s="18">
        <v>6</v>
      </c>
      <c r="I23" s="20">
        <v>28748</v>
      </c>
      <c r="J23" s="18"/>
      <c r="K23" s="18"/>
      <c r="L23" s="20">
        <v>3357</v>
      </c>
      <c r="M23" s="20">
        <v>44816</v>
      </c>
      <c r="N23" s="20">
        <v>47560</v>
      </c>
      <c r="O23" s="15">
        <f t="shared" si="0"/>
        <v>2744</v>
      </c>
    </row>
    <row r="24" spans="1:15" ht="15.75" thickBot="1" x14ac:dyDescent="0.3">
      <c r="A24" s="12" t="s">
        <v>1241</v>
      </c>
      <c r="B24" s="13">
        <v>783</v>
      </c>
      <c r="C24" s="14" t="s">
        <v>1148</v>
      </c>
      <c r="D24" s="13">
        <v>5</v>
      </c>
      <c r="E24" s="16">
        <v>17176</v>
      </c>
      <c r="F24" s="13"/>
      <c r="G24" s="13"/>
      <c r="H24" s="13">
        <v>7</v>
      </c>
      <c r="I24" s="16">
        <v>35682</v>
      </c>
      <c r="J24" s="13"/>
      <c r="K24" s="13"/>
      <c r="L24" s="16">
        <v>3357</v>
      </c>
      <c r="M24" s="16">
        <v>56215</v>
      </c>
      <c r="N24" s="16">
        <v>61702</v>
      </c>
      <c r="O24" s="15">
        <f t="shared" si="0"/>
        <v>5487</v>
      </c>
    </row>
    <row r="25" spans="1:15" ht="15" thickBot="1" x14ac:dyDescent="0.35">
      <c r="A25" s="17" t="s">
        <v>1242</v>
      </c>
      <c r="B25" s="18">
        <v>784</v>
      </c>
      <c r="C25" s="19" t="s">
        <v>1148</v>
      </c>
      <c r="D25" s="18">
        <v>5</v>
      </c>
      <c r="E25" s="20">
        <v>17176</v>
      </c>
      <c r="F25" s="18"/>
      <c r="G25" s="18"/>
      <c r="H25" s="18">
        <v>7</v>
      </c>
      <c r="I25" s="20">
        <v>35682</v>
      </c>
      <c r="J25" s="18"/>
      <c r="K25" s="18"/>
      <c r="L25" s="20">
        <v>3357</v>
      </c>
      <c r="M25" s="20">
        <v>56215</v>
      </c>
      <c r="N25" s="20">
        <v>61702</v>
      </c>
      <c r="O25" s="15">
        <f t="shared" si="0"/>
        <v>5487</v>
      </c>
    </row>
    <row r="26" spans="1:15" ht="15" thickBot="1" x14ac:dyDescent="0.35">
      <c r="A26" s="12" t="s">
        <v>1243</v>
      </c>
      <c r="B26" s="13">
        <v>790</v>
      </c>
      <c r="C26" s="14" t="s">
        <v>1148</v>
      </c>
      <c r="D26" s="13">
        <v>3</v>
      </c>
      <c r="E26" s="16">
        <v>8220</v>
      </c>
      <c r="F26" s="13"/>
      <c r="G26" s="13"/>
      <c r="H26" s="13">
        <v>7</v>
      </c>
      <c r="I26" s="16">
        <v>35682</v>
      </c>
      <c r="J26" s="13"/>
      <c r="L26" s="21">
        <v>3357</v>
      </c>
      <c r="M26" s="16">
        <v>47259</v>
      </c>
      <c r="N26" s="16">
        <v>55491</v>
      </c>
      <c r="O26" s="15">
        <f t="shared" si="0"/>
        <v>8232</v>
      </c>
    </row>
    <row r="27" spans="1:15" ht="15" thickBot="1" x14ac:dyDescent="0.35">
      <c r="A27" s="17" t="s">
        <v>1230</v>
      </c>
      <c r="B27" s="18">
        <v>800</v>
      </c>
      <c r="C27" s="19" t="s">
        <v>1148</v>
      </c>
      <c r="D27" s="18">
        <v>2</v>
      </c>
      <c r="E27" s="20">
        <v>4491</v>
      </c>
      <c r="F27" s="18"/>
      <c r="G27" s="18"/>
      <c r="H27" s="18">
        <v>3</v>
      </c>
      <c r="I27" s="20">
        <v>10907</v>
      </c>
      <c r="J27" s="18"/>
      <c r="K27" s="18"/>
      <c r="L27" s="20">
        <v>3357</v>
      </c>
      <c r="M27" s="20">
        <v>18755</v>
      </c>
      <c r="N27" s="20">
        <v>32476</v>
      </c>
      <c r="O27" s="15">
        <f t="shared" si="0"/>
        <v>13721</v>
      </c>
    </row>
    <row r="28" spans="1:15" ht="15" thickBot="1" x14ac:dyDescent="0.35">
      <c r="A28" s="12" t="s">
        <v>1231</v>
      </c>
      <c r="B28" s="13">
        <v>802</v>
      </c>
      <c r="C28" s="14" t="s">
        <v>1148</v>
      </c>
      <c r="D28" s="13">
        <v>2</v>
      </c>
      <c r="E28" s="16">
        <v>4491</v>
      </c>
      <c r="F28" s="13"/>
      <c r="G28" s="13"/>
      <c r="H28" s="13">
        <v>4</v>
      </c>
      <c r="I28" s="16">
        <v>16866</v>
      </c>
      <c r="J28" s="13"/>
      <c r="K28" s="13"/>
      <c r="L28" s="16">
        <v>3357</v>
      </c>
      <c r="M28" s="16">
        <v>24714</v>
      </c>
      <c r="N28" s="16">
        <v>38435</v>
      </c>
      <c r="O28" s="15">
        <f t="shared" si="0"/>
        <v>13721</v>
      </c>
    </row>
    <row r="29" spans="1:15" ht="15" thickBot="1" x14ac:dyDescent="0.35">
      <c r="A29" s="17" t="s">
        <v>1232</v>
      </c>
      <c r="B29" s="18">
        <v>804</v>
      </c>
      <c r="C29" s="19" t="s">
        <v>1148</v>
      </c>
      <c r="D29" s="18">
        <v>1</v>
      </c>
      <c r="E29" s="20">
        <v>1497</v>
      </c>
      <c r="F29" s="18"/>
      <c r="G29" s="18"/>
      <c r="H29" s="18">
        <v>5</v>
      </c>
      <c r="I29" s="20">
        <v>22788</v>
      </c>
      <c r="J29" s="18"/>
      <c r="K29" s="18"/>
      <c r="L29" s="20">
        <v>3357</v>
      </c>
      <c r="M29" s="20">
        <v>27642</v>
      </c>
      <c r="N29" s="20">
        <v>43812</v>
      </c>
      <c r="O29" s="15">
        <f t="shared" si="0"/>
        <v>16170</v>
      </c>
    </row>
    <row r="30" spans="1:15" ht="15" thickBot="1" x14ac:dyDescent="0.35">
      <c r="A30" s="12" t="s">
        <v>1233</v>
      </c>
      <c r="B30" s="13">
        <v>806</v>
      </c>
      <c r="C30" s="14" t="s">
        <v>1148</v>
      </c>
      <c r="D30" s="13">
        <v>2</v>
      </c>
      <c r="E30" s="16">
        <v>4491</v>
      </c>
      <c r="F30" s="13">
        <v>0</v>
      </c>
      <c r="G30" s="16">
        <v>1281</v>
      </c>
      <c r="H30" s="13">
        <v>5</v>
      </c>
      <c r="I30" s="16">
        <v>22788</v>
      </c>
      <c r="J30" s="13"/>
      <c r="K30" s="13"/>
      <c r="L30" s="16">
        <v>3357</v>
      </c>
      <c r="M30" s="16">
        <v>31917</v>
      </c>
      <c r="N30" s="16">
        <v>48087</v>
      </c>
      <c r="O30" s="15">
        <f t="shared" si="0"/>
        <v>16170</v>
      </c>
    </row>
    <row r="31" spans="1:15" ht="15" thickBot="1" x14ac:dyDescent="0.35">
      <c r="A31" s="17" t="s">
        <v>1234</v>
      </c>
      <c r="B31" s="18">
        <v>808</v>
      </c>
      <c r="C31" s="19" t="s">
        <v>1148</v>
      </c>
      <c r="D31" s="18">
        <v>4</v>
      </c>
      <c r="E31" s="20">
        <v>12711</v>
      </c>
      <c r="F31" s="18">
        <v>1</v>
      </c>
      <c r="G31" s="20">
        <v>3845</v>
      </c>
      <c r="H31" s="18">
        <v>5</v>
      </c>
      <c r="I31" s="20">
        <v>22788</v>
      </c>
      <c r="J31" s="18"/>
      <c r="K31" s="18"/>
      <c r="L31" s="20">
        <v>3357</v>
      </c>
      <c r="M31" s="20">
        <v>42701</v>
      </c>
      <c r="N31" s="20">
        <v>61323</v>
      </c>
      <c r="O31" s="15">
        <f t="shared" si="0"/>
        <v>18622</v>
      </c>
    </row>
    <row r="32" spans="1:15" ht="15" thickBot="1" x14ac:dyDescent="0.35">
      <c r="A32" s="12" t="s">
        <v>1235</v>
      </c>
      <c r="B32" s="13">
        <v>810</v>
      </c>
      <c r="C32" s="14" t="s">
        <v>1148</v>
      </c>
      <c r="D32" s="13">
        <v>2</v>
      </c>
      <c r="E32" s="16">
        <v>4491</v>
      </c>
      <c r="F32" s="13"/>
      <c r="G32" s="13"/>
      <c r="H32" s="13">
        <v>6</v>
      </c>
      <c r="I32" s="16">
        <v>28748</v>
      </c>
      <c r="J32" s="13"/>
      <c r="K32" s="13"/>
      <c r="L32" s="16">
        <v>3357</v>
      </c>
      <c r="M32" s="16">
        <v>36596</v>
      </c>
      <c r="N32" s="16">
        <v>57668</v>
      </c>
      <c r="O32" s="15">
        <f t="shared" si="0"/>
        <v>21072</v>
      </c>
    </row>
    <row r="33" spans="1:15" ht="15" thickBot="1" x14ac:dyDescent="0.35">
      <c r="A33" s="17" t="s">
        <v>1236</v>
      </c>
      <c r="B33" s="18">
        <v>812</v>
      </c>
      <c r="C33" s="19" t="s">
        <v>1148</v>
      </c>
      <c r="D33" s="18">
        <v>4</v>
      </c>
      <c r="E33" s="20">
        <v>12711</v>
      </c>
      <c r="F33" s="18">
        <v>0</v>
      </c>
      <c r="G33" s="20">
        <v>1281</v>
      </c>
      <c r="H33" s="18">
        <v>7</v>
      </c>
      <c r="I33" s="20">
        <v>35682</v>
      </c>
      <c r="J33" s="18"/>
      <c r="K33" s="18"/>
      <c r="L33" s="20">
        <v>3357</v>
      </c>
      <c r="M33" s="20">
        <v>53031</v>
      </c>
      <c r="N33" s="20">
        <v>76554</v>
      </c>
      <c r="O33" s="15">
        <f t="shared" si="0"/>
        <v>23523</v>
      </c>
    </row>
    <row r="34" spans="1:15" ht="15" thickBot="1" x14ac:dyDescent="0.35">
      <c r="A34" s="12" t="s">
        <v>1237</v>
      </c>
      <c r="B34" s="13">
        <v>814</v>
      </c>
      <c r="C34" s="14" t="s">
        <v>1148</v>
      </c>
      <c r="D34" s="13">
        <v>7</v>
      </c>
      <c r="E34" s="16">
        <v>26894</v>
      </c>
      <c r="F34" s="13">
        <v>2</v>
      </c>
      <c r="G34" s="16">
        <v>7690</v>
      </c>
      <c r="H34" s="13">
        <v>3</v>
      </c>
      <c r="I34" s="16">
        <v>10907</v>
      </c>
      <c r="J34" s="13"/>
      <c r="K34" s="13"/>
      <c r="L34" s="16">
        <v>3357</v>
      </c>
      <c r="M34" s="16">
        <v>48848</v>
      </c>
      <c r="N34" s="16">
        <v>67470</v>
      </c>
      <c r="O34" s="15">
        <f t="shared" si="0"/>
        <v>18622</v>
      </c>
    </row>
    <row r="35" spans="1:15" ht="15" thickBot="1" x14ac:dyDescent="0.35">
      <c r="A35" s="17" t="s">
        <v>1198</v>
      </c>
      <c r="B35" s="18">
        <v>820</v>
      </c>
      <c r="C35" s="19" t="s">
        <v>1148</v>
      </c>
      <c r="D35" s="18">
        <v>2</v>
      </c>
      <c r="E35" s="20">
        <v>4491</v>
      </c>
      <c r="F35" s="18">
        <v>0</v>
      </c>
      <c r="G35" s="20">
        <v>1281</v>
      </c>
      <c r="H35" s="18">
        <v>4</v>
      </c>
      <c r="I35" s="20">
        <v>16866</v>
      </c>
      <c r="J35" s="18"/>
      <c r="K35" s="18"/>
      <c r="L35" s="20">
        <v>3357</v>
      </c>
      <c r="M35" s="20">
        <v>25995</v>
      </c>
      <c r="N35" s="20">
        <v>42165</v>
      </c>
      <c r="O35" s="15">
        <f t="shared" si="0"/>
        <v>16170</v>
      </c>
    </row>
    <row r="36" spans="1:15" ht="15" thickBot="1" x14ac:dyDescent="0.35">
      <c r="A36" s="12" t="s">
        <v>1199</v>
      </c>
      <c r="B36" s="13">
        <v>822</v>
      </c>
      <c r="C36" s="14" t="s">
        <v>1148</v>
      </c>
      <c r="D36" s="13">
        <v>4</v>
      </c>
      <c r="E36" s="16">
        <v>12711</v>
      </c>
      <c r="F36" s="13">
        <v>0</v>
      </c>
      <c r="G36" s="16">
        <v>1281</v>
      </c>
      <c r="H36" s="13">
        <v>4</v>
      </c>
      <c r="I36" s="16">
        <v>16866</v>
      </c>
      <c r="J36" s="13"/>
      <c r="K36" s="13"/>
      <c r="L36" s="16">
        <v>3357</v>
      </c>
      <c r="M36" s="16">
        <v>34215</v>
      </c>
      <c r="N36" s="16">
        <v>50385</v>
      </c>
      <c r="O36" s="15">
        <f t="shared" si="0"/>
        <v>16170</v>
      </c>
    </row>
    <row r="37" spans="1:15" ht="15" thickBot="1" x14ac:dyDescent="0.35">
      <c r="A37" s="17" t="s">
        <v>1200</v>
      </c>
      <c r="B37" s="18">
        <v>824</v>
      </c>
      <c r="C37" s="19" t="s">
        <v>1148</v>
      </c>
      <c r="D37" s="18">
        <v>4</v>
      </c>
      <c r="E37" s="20">
        <v>12711</v>
      </c>
      <c r="F37" s="18">
        <v>0</v>
      </c>
      <c r="G37" s="20">
        <v>1281</v>
      </c>
      <c r="H37" s="18">
        <v>3</v>
      </c>
      <c r="I37" s="20">
        <v>10907</v>
      </c>
      <c r="J37" s="18"/>
      <c r="K37" s="18"/>
      <c r="L37" s="20">
        <v>3357</v>
      </c>
      <c r="M37" s="20">
        <v>28256</v>
      </c>
      <c r="N37" s="20">
        <v>46878</v>
      </c>
      <c r="O37" s="15">
        <f t="shared" si="0"/>
        <v>18622</v>
      </c>
    </row>
    <row r="38" spans="1:15" ht="15" thickBot="1" x14ac:dyDescent="0.35">
      <c r="A38" s="12" t="s">
        <v>1201</v>
      </c>
      <c r="B38" s="13">
        <v>826</v>
      </c>
      <c r="C38" s="14" t="s">
        <v>1148</v>
      </c>
      <c r="D38" s="13">
        <v>4</v>
      </c>
      <c r="E38" s="16">
        <v>12711</v>
      </c>
      <c r="F38" s="13">
        <v>0</v>
      </c>
      <c r="G38" s="16">
        <v>1281</v>
      </c>
      <c r="H38" s="13">
        <v>4</v>
      </c>
      <c r="I38" s="16">
        <v>16866</v>
      </c>
      <c r="J38" s="13"/>
      <c r="K38" s="13"/>
      <c r="L38" s="16">
        <v>3357</v>
      </c>
      <c r="M38" s="16">
        <v>34215</v>
      </c>
      <c r="N38" s="16">
        <v>50385</v>
      </c>
      <c r="O38" s="15">
        <f t="shared" si="0"/>
        <v>16170</v>
      </c>
    </row>
    <row r="39" spans="1:15" ht="15" thickBot="1" x14ac:dyDescent="0.35">
      <c r="A39" s="17" t="s">
        <v>1202</v>
      </c>
      <c r="B39" s="18">
        <v>828</v>
      </c>
      <c r="C39" s="19" t="s">
        <v>1148</v>
      </c>
      <c r="D39" s="18">
        <v>5</v>
      </c>
      <c r="E39" s="20">
        <v>17176</v>
      </c>
      <c r="F39" s="18">
        <v>1</v>
      </c>
      <c r="G39" s="20">
        <v>3845</v>
      </c>
      <c r="H39" s="18">
        <v>4</v>
      </c>
      <c r="I39" s="20">
        <v>16866</v>
      </c>
      <c r="J39" s="18"/>
      <c r="K39" s="18"/>
      <c r="L39" s="20">
        <v>3357</v>
      </c>
      <c r="M39" s="20">
        <v>41244</v>
      </c>
      <c r="N39" s="20">
        <v>59866</v>
      </c>
      <c r="O39" s="15">
        <f t="shared" si="0"/>
        <v>18622</v>
      </c>
    </row>
    <row r="40" spans="1:15" ht="15" thickBot="1" x14ac:dyDescent="0.35">
      <c r="A40" s="12" t="s">
        <v>1203</v>
      </c>
      <c r="B40" s="13">
        <v>830</v>
      </c>
      <c r="C40" s="14" t="s">
        <v>1148</v>
      </c>
      <c r="D40" s="13">
        <v>6</v>
      </c>
      <c r="E40" s="16">
        <v>21667</v>
      </c>
      <c r="F40" s="13">
        <v>2</v>
      </c>
      <c r="G40" s="16">
        <v>7690</v>
      </c>
      <c r="H40" s="13">
        <v>4</v>
      </c>
      <c r="I40" s="16">
        <v>16866</v>
      </c>
      <c r="J40" s="13"/>
      <c r="K40" s="13"/>
      <c r="L40" s="16">
        <v>3357</v>
      </c>
      <c r="M40" s="16">
        <v>49580</v>
      </c>
      <c r="N40" s="16">
        <v>65750</v>
      </c>
      <c r="O40" s="15">
        <f t="shared" si="0"/>
        <v>16170</v>
      </c>
    </row>
    <row r="41" spans="1:15" ht="15" thickBot="1" x14ac:dyDescent="0.35">
      <c r="A41" s="17" t="s">
        <v>1204</v>
      </c>
      <c r="B41" s="18">
        <v>832</v>
      </c>
      <c r="C41" s="19" t="s">
        <v>1148</v>
      </c>
      <c r="D41" s="18">
        <v>6</v>
      </c>
      <c r="E41" s="20">
        <v>21667</v>
      </c>
      <c r="F41" s="18">
        <v>2</v>
      </c>
      <c r="G41" s="20">
        <v>7690</v>
      </c>
      <c r="H41" s="18">
        <v>5</v>
      </c>
      <c r="I41" s="20">
        <v>22788</v>
      </c>
      <c r="J41" s="18"/>
      <c r="K41" s="18"/>
      <c r="L41" s="20">
        <v>3357</v>
      </c>
      <c r="M41" s="20">
        <v>55502</v>
      </c>
      <c r="N41" s="20">
        <v>69223</v>
      </c>
      <c r="O41" s="15">
        <f t="shared" si="0"/>
        <v>13721</v>
      </c>
    </row>
    <row r="42" spans="1:15" ht="15" thickBot="1" x14ac:dyDescent="0.35">
      <c r="A42" s="12" t="s">
        <v>1209</v>
      </c>
      <c r="B42" s="13">
        <v>840</v>
      </c>
      <c r="C42" s="14" t="s">
        <v>1148</v>
      </c>
      <c r="D42" s="13">
        <v>2</v>
      </c>
      <c r="E42" s="16">
        <v>4491</v>
      </c>
      <c r="F42" s="13"/>
      <c r="G42" s="13"/>
      <c r="H42" s="13">
        <v>3</v>
      </c>
      <c r="I42" s="16">
        <v>10907</v>
      </c>
      <c r="J42" s="13"/>
      <c r="K42" s="13"/>
      <c r="L42" s="16">
        <v>3357</v>
      </c>
      <c r="M42" s="16">
        <v>18755</v>
      </c>
      <c r="N42" s="16">
        <v>34925</v>
      </c>
      <c r="O42" s="15">
        <f t="shared" si="0"/>
        <v>16170</v>
      </c>
    </row>
    <row r="43" spans="1:15" ht="15" thickBot="1" x14ac:dyDescent="0.35">
      <c r="A43" s="17" t="s">
        <v>1210</v>
      </c>
      <c r="B43" s="18">
        <v>842</v>
      </c>
      <c r="C43" s="19" t="s">
        <v>1148</v>
      </c>
      <c r="D43" s="18">
        <v>2</v>
      </c>
      <c r="E43" s="20">
        <v>4491</v>
      </c>
      <c r="F43" s="18"/>
      <c r="G43" s="18"/>
      <c r="H43" s="18">
        <v>5</v>
      </c>
      <c r="I43" s="20">
        <v>22788</v>
      </c>
      <c r="J43" s="18"/>
      <c r="K43" s="18"/>
      <c r="L43" s="20">
        <v>3357</v>
      </c>
      <c r="M43" s="20">
        <v>30636</v>
      </c>
      <c r="N43" s="20">
        <v>44357</v>
      </c>
      <c r="O43" s="15">
        <f t="shared" si="0"/>
        <v>13721</v>
      </c>
    </row>
    <row r="44" spans="1:15" ht="15" thickBot="1" x14ac:dyDescent="0.35">
      <c r="A44" s="12" t="s">
        <v>1211</v>
      </c>
      <c r="B44" s="13">
        <v>844</v>
      </c>
      <c r="C44" s="14" t="s">
        <v>1148</v>
      </c>
      <c r="D44" s="13">
        <v>3</v>
      </c>
      <c r="E44" s="16">
        <v>8220</v>
      </c>
      <c r="F44" s="13">
        <v>1</v>
      </c>
      <c r="G44" s="16">
        <v>3845</v>
      </c>
      <c r="H44" s="13">
        <v>5</v>
      </c>
      <c r="I44" s="16">
        <v>22788</v>
      </c>
      <c r="J44" s="13"/>
      <c r="K44" s="13"/>
      <c r="L44" s="16">
        <v>3357</v>
      </c>
      <c r="M44" s="16">
        <v>38210</v>
      </c>
      <c r="N44" s="16">
        <v>51931</v>
      </c>
      <c r="O44" s="15">
        <f t="shared" si="0"/>
        <v>13721</v>
      </c>
    </row>
    <row r="45" spans="1:15" ht="15" thickBot="1" x14ac:dyDescent="0.35">
      <c r="A45" s="17" t="s">
        <v>1212</v>
      </c>
      <c r="B45" s="18">
        <v>846</v>
      </c>
      <c r="C45" s="19" t="s">
        <v>1148</v>
      </c>
      <c r="D45" s="18">
        <v>6</v>
      </c>
      <c r="E45" s="20">
        <v>21667</v>
      </c>
      <c r="F45" s="18">
        <v>1</v>
      </c>
      <c r="G45" s="20">
        <v>3845</v>
      </c>
      <c r="H45" s="18">
        <v>5</v>
      </c>
      <c r="I45" s="20">
        <v>22788</v>
      </c>
      <c r="J45" s="18"/>
      <c r="K45" s="18"/>
      <c r="L45" s="20">
        <v>3357</v>
      </c>
      <c r="M45" s="20">
        <v>51657</v>
      </c>
      <c r="N45" s="20">
        <v>70279</v>
      </c>
      <c r="O45" s="15">
        <f t="shared" si="0"/>
        <v>18622</v>
      </c>
    </row>
    <row r="46" spans="1:15" ht="15" thickBot="1" x14ac:dyDescent="0.35">
      <c r="A46" s="12" t="s">
        <v>1213</v>
      </c>
      <c r="B46" s="13">
        <v>848</v>
      </c>
      <c r="C46" s="14" t="s">
        <v>1148</v>
      </c>
      <c r="D46" s="13">
        <v>6</v>
      </c>
      <c r="E46" s="16">
        <v>21667</v>
      </c>
      <c r="F46" s="13">
        <v>1</v>
      </c>
      <c r="G46" s="16">
        <v>3845</v>
      </c>
      <c r="H46" s="13">
        <v>6</v>
      </c>
      <c r="I46" s="16">
        <v>28748</v>
      </c>
      <c r="J46" s="13"/>
      <c r="K46" s="13"/>
      <c r="L46" s="16">
        <v>3357</v>
      </c>
      <c r="M46" s="16">
        <v>57617</v>
      </c>
      <c r="N46" s="16">
        <v>76239</v>
      </c>
      <c r="O46" s="15">
        <f t="shared" si="0"/>
        <v>18622</v>
      </c>
    </row>
    <row r="47" spans="1:15" ht="15" thickBot="1" x14ac:dyDescent="0.35">
      <c r="A47" s="17" t="s">
        <v>1205</v>
      </c>
      <c r="B47" s="18">
        <v>850</v>
      </c>
      <c r="C47" s="19" t="s">
        <v>1148</v>
      </c>
      <c r="D47" s="18">
        <v>1</v>
      </c>
      <c r="E47" s="20">
        <v>1497</v>
      </c>
      <c r="F47" s="18"/>
      <c r="G47" s="18"/>
      <c r="H47" s="18">
        <v>5</v>
      </c>
      <c r="I47" s="20">
        <v>22788</v>
      </c>
      <c r="J47" s="18"/>
      <c r="K47" s="18"/>
      <c r="L47" s="20">
        <v>3357</v>
      </c>
      <c r="M47" s="20">
        <v>27642</v>
      </c>
      <c r="N47" s="20">
        <v>48714</v>
      </c>
      <c r="O47" s="15">
        <f t="shared" si="0"/>
        <v>21072</v>
      </c>
    </row>
    <row r="48" spans="1:15" ht="15" thickBot="1" x14ac:dyDescent="0.35">
      <c r="A48" s="12" t="s">
        <v>1206</v>
      </c>
      <c r="B48" s="13">
        <v>852</v>
      </c>
      <c r="C48" s="14" t="s">
        <v>1148</v>
      </c>
      <c r="D48" s="13">
        <v>5</v>
      </c>
      <c r="E48" s="16">
        <v>17176</v>
      </c>
      <c r="F48" s="13">
        <v>2</v>
      </c>
      <c r="G48" s="16">
        <v>7690</v>
      </c>
      <c r="H48" s="13">
        <v>7</v>
      </c>
      <c r="I48" s="16">
        <v>35682</v>
      </c>
      <c r="J48" s="13"/>
      <c r="K48" s="13"/>
      <c r="L48" s="16">
        <v>3357</v>
      </c>
      <c r="M48" s="16">
        <v>63905</v>
      </c>
      <c r="N48" s="16">
        <v>87428</v>
      </c>
      <c r="O48" s="15">
        <f t="shared" si="0"/>
        <v>23523</v>
      </c>
    </row>
    <row r="49" spans="1:15" ht="15" thickBot="1" x14ac:dyDescent="0.35">
      <c r="A49" s="17" t="s">
        <v>1207</v>
      </c>
      <c r="B49" s="18">
        <v>854</v>
      </c>
      <c r="C49" s="19" t="s">
        <v>1148</v>
      </c>
      <c r="D49" s="18">
        <v>7</v>
      </c>
      <c r="E49" s="20">
        <v>26894</v>
      </c>
      <c r="F49" s="18">
        <v>3</v>
      </c>
      <c r="G49" s="20">
        <v>14099</v>
      </c>
      <c r="H49" s="18">
        <v>7</v>
      </c>
      <c r="I49" s="20">
        <v>35682</v>
      </c>
      <c r="J49" s="18"/>
      <c r="K49" s="18"/>
      <c r="L49" s="20">
        <v>3357</v>
      </c>
      <c r="M49" s="20">
        <v>80032</v>
      </c>
      <c r="N49" s="20">
        <v>103555</v>
      </c>
      <c r="O49" s="15">
        <f t="shared" si="0"/>
        <v>23523</v>
      </c>
    </row>
    <row r="50" spans="1:15" ht="15" thickBot="1" x14ac:dyDescent="0.35">
      <c r="A50" s="12" t="s">
        <v>1208</v>
      </c>
      <c r="B50" s="13">
        <v>856</v>
      </c>
      <c r="C50" s="14" t="s">
        <v>1148</v>
      </c>
      <c r="D50" s="13">
        <v>3</v>
      </c>
      <c r="E50" s="16">
        <v>8220</v>
      </c>
      <c r="F50" s="13"/>
      <c r="G50" s="13"/>
      <c r="H50" s="13">
        <v>7</v>
      </c>
      <c r="I50" s="16">
        <v>35682</v>
      </c>
      <c r="J50" s="13"/>
      <c r="K50" s="13"/>
      <c r="L50" s="16">
        <v>3357</v>
      </c>
      <c r="M50" s="16">
        <v>47259</v>
      </c>
      <c r="N50" s="16">
        <v>65881</v>
      </c>
      <c r="O50" s="15">
        <f t="shared" si="0"/>
        <v>18622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P37"/>
  <sheetViews>
    <sheetView workbookViewId="0">
      <selection activeCell="Q6" sqref="Q6"/>
    </sheetView>
  </sheetViews>
  <sheetFormatPr defaultRowHeight="14.4" x14ac:dyDescent="0.3"/>
  <sheetData>
    <row r="1" spans="1:16" s="28" customFormat="1" ht="15.75" thickBot="1" x14ac:dyDescent="0.3">
      <c r="A1" s="12" t="s">
        <v>1263</v>
      </c>
      <c r="B1" s="13">
        <v>860</v>
      </c>
      <c r="C1" s="13" t="s">
        <v>1426</v>
      </c>
      <c r="D1" s="13"/>
      <c r="E1" s="14" t="s">
        <v>1278</v>
      </c>
      <c r="F1" s="13">
        <v>1</v>
      </c>
      <c r="G1" s="16">
        <v>1497</v>
      </c>
      <c r="H1" s="13">
        <v>0</v>
      </c>
      <c r="I1" s="16">
        <v>1281</v>
      </c>
      <c r="J1" s="13">
        <v>3</v>
      </c>
      <c r="K1" s="16">
        <v>10907</v>
      </c>
      <c r="L1" s="13">
        <v>4</v>
      </c>
      <c r="M1" s="16">
        <v>10974</v>
      </c>
      <c r="N1" s="16">
        <v>3357</v>
      </c>
      <c r="O1" s="16">
        <v>28016</v>
      </c>
      <c r="P1" s="15">
        <f t="shared" ref="P1:P37" si="0">O1-N1</f>
        <v>24659</v>
      </c>
    </row>
    <row r="2" spans="1:16" s="28" customFormat="1" ht="15.75" thickBot="1" x14ac:dyDescent="0.3">
      <c r="A2" s="17" t="s">
        <v>1265</v>
      </c>
      <c r="B2" s="18">
        <v>862</v>
      </c>
      <c r="C2" s="18" t="s">
        <v>1426</v>
      </c>
      <c r="D2" s="18"/>
      <c r="E2" s="19" t="s">
        <v>1278</v>
      </c>
      <c r="F2" s="18">
        <v>1</v>
      </c>
      <c r="G2" s="20">
        <v>1497</v>
      </c>
      <c r="H2" s="18">
        <v>0</v>
      </c>
      <c r="I2" s="20">
        <v>1281</v>
      </c>
      <c r="J2" s="18">
        <v>4</v>
      </c>
      <c r="K2" s="20">
        <v>16866</v>
      </c>
      <c r="L2" s="18">
        <v>4</v>
      </c>
      <c r="M2" s="20">
        <v>10974</v>
      </c>
      <c r="N2" s="20">
        <v>3357</v>
      </c>
      <c r="O2" s="20">
        <v>33975</v>
      </c>
      <c r="P2" s="15">
        <f t="shared" si="0"/>
        <v>30618</v>
      </c>
    </row>
    <row r="3" spans="1:16" s="28" customFormat="1" ht="15.75" thickBot="1" x14ac:dyDescent="0.3">
      <c r="A3" s="12" t="s">
        <v>1266</v>
      </c>
      <c r="B3" s="13">
        <v>864</v>
      </c>
      <c r="C3" s="13" t="s">
        <v>1426</v>
      </c>
      <c r="D3" s="13"/>
      <c r="E3" s="14" t="s">
        <v>1278</v>
      </c>
      <c r="F3" s="13">
        <v>1</v>
      </c>
      <c r="G3" s="16">
        <v>1497</v>
      </c>
      <c r="H3" s="13">
        <v>0</v>
      </c>
      <c r="I3" s="16">
        <v>1281</v>
      </c>
      <c r="J3" s="13">
        <v>5</v>
      </c>
      <c r="K3" s="16">
        <v>22788</v>
      </c>
      <c r="L3" s="13">
        <v>4</v>
      </c>
      <c r="M3" s="16">
        <v>10974</v>
      </c>
      <c r="N3" s="16">
        <v>3357</v>
      </c>
      <c r="O3" s="16">
        <v>39897</v>
      </c>
      <c r="P3" s="15">
        <f t="shared" si="0"/>
        <v>36540</v>
      </c>
    </row>
    <row r="4" spans="1:16" s="28" customFormat="1" ht="15.75" thickBot="1" x14ac:dyDescent="0.3">
      <c r="A4" s="17" t="s">
        <v>1267</v>
      </c>
      <c r="B4" s="18">
        <v>766</v>
      </c>
      <c r="C4" s="18" t="s">
        <v>1426</v>
      </c>
      <c r="D4" s="18"/>
      <c r="E4" s="19" t="s">
        <v>1278</v>
      </c>
      <c r="F4" s="18">
        <v>3</v>
      </c>
      <c r="G4" s="20">
        <v>8220</v>
      </c>
      <c r="H4" s="18">
        <v>1</v>
      </c>
      <c r="I4" s="20">
        <v>3845</v>
      </c>
      <c r="J4" s="18">
        <v>4</v>
      </c>
      <c r="K4" s="20">
        <v>16866</v>
      </c>
      <c r="L4" s="18">
        <v>4</v>
      </c>
      <c r="M4" s="20">
        <v>10974</v>
      </c>
      <c r="N4" s="20">
        <v>3357</v>
      </c>
      <c r="O4" s="20">
        <v>43262</v>
      </c>
      <c r="P4" s="15">
        <f t="shared" si="0"/>
        <v>39905</v>
      </c>
    </row>
    <row r="5" spans="1:16" s="28" customFormat="1" ht="15.75" thickBot="1" x14ac:dyDescent="0.3">
      <c r="A5" s="12" t="s">
        <v>1268</v>
      </c>
      <c r="B5" s="13">
        <v>768</v>
      </c>
      <c r="C5" s="13" t="s">
        <v>1426</v>
      </c>
      <c r="D5" s="13"/>
      <c r="E5" s="14" t="s">
        <v>1278</v>
      </c>
      <c r="F5" s="13">
        <v>2</v>
      </c>
      <c r="G5" s="16">
        <v>4491</v>
      </c>
      <c r="H5" s="13">
        <v>1</v>
      </c>
      <c r="I5" s="16">
        <v>3845</v>
      </c>
      <c r="J5" s="13">
        <v>5</v>
      </c>
      <c r="K5" s="16">
        <v>22788</v>
      </c>
      <c r="L5" s="13">
        <v>5</v>
      </c>
      <c r="M5" s="16">
        <v>13721</v>
      </c>
      <c r="N5" s="16">
        <v>3357</v>
      </c>
      <c r="O5" s="16">
        <v>48202</v>
      </c>
      <c r="P5" s="15">
        <f t="shared" si="0"/>
        <v>44845</v>
      </c>
    </row>
    <row r="6" spans="1:16" s="28" customFormat="1" ht="15.75" thickBot="1" x14ac:dyDescent="0.3">
      <c r="A6" s="17" t="s">
        <v>1269</v>
      </c>
      <c r="B6" s="18">
        <v>770</v>
      </c>
      <c r="C6" s="18" t="s">
        <v>1426</v>
      </c>
      <c r="D6" s="18"/>
      <c r="E6" s="19" t="s">
        <v>1278</v>
      </c>
      <c r="F6" s="18">
        <v>4</v>
      </c>
      <c r="G6" s="20">
        <v>12711</v>
      </c>
      <c r="H6" s="18">
        <v>2</v>
      </c>
      <c r="I6" s="20">
        <v>7690</v>
      </c>
      <c r="J6" s="18">
        <v>5</v>
      </c>
      <c r="K6" s="20">
        <v>22788</v>
      </c>
      <c r="L6" s="18">
        <v>4</v>
      </c>
      <c r="M6" s="20">
        <v>10974</v>
      </c>
      <c r="N6" s="20">
        <v>3357</v>
      </c>
      <c r="O6" s="20">
        <v>57520</v>
      </c>
      <c r="P6" s="15">
        <f t="shared" si="0"/>
        <v>54163</v>
      </c>
    </row>
    <row r="7" spans="1:16" s="28" customFormat="1" ht="15.75" thickBot="1" x14ac:dyDescent="0.3">
      <c r="A7" s="12" t="s">
        <v>1270</v>
      </c>
      <c r="B7" s="13">
        <v>772</v>
      </c>
      <c r="C7" s="13" t="s">
        <v>1426</v>
      </c>
      <c r="D7" s="13"/>
      <c r="E7" s="14" t="s">
        <v>1278</v>
      </c>
      <c r="F7" s="13">
        <v>3</v>
      </c>
      <c r="G7" s="16">
        <v>8220</v>
      </c>
      <c r="H7" s="13">
        <v>2</v>
      </c>
      <c r="I7" s="16">
        <v>7690</v>
      </c>
      <c r="J7" s="13">
        <v>7</v>
      </c>
      <c r="K7" s="16">
        <v>35682</v>
      </c>
      <c r="L7" s="13">
        <v>5</v>
      </c>
      <c r="M7" s="16">
        <v>13721</v>
      </c>
      <c r="N7" s="16">
        <v>3357</v>
      </c>
      <c r="O7" s="16">
        <v>68670</v>
      </c>
      <c r="P7" s="15">
        <f t="shared" si="0"/>
        <v>65313</v>
      </c>
    </row>
    <row r="8" spans="1:16" s="28" customFormat="1" ht="15.75" thickBot="1" x14ac:dyDescent="0.3">
      <c r="A8" s="17" t="s">
        <v>1238</v>
      </c>
      <c r="B8" s="18">
        <v>780</v>
      </c>
      <c r="C8" s="18" t="s">
        <v>1422</v>
      </c>
      <c r="D8" s="18"/>
      <c r="E8" s="19" t="s">
        <v>1278</v>
      </c>
      <c r="F8" s="18">
        <v>2</v>
      </c>
      <c r="G8" s="20">
        <v>4491</v>
      </c>
      <c r="H8" s="18"/>
      <c r="I8" s="18"/>
      <c r="J8" s="18">
        <v>4</v>
      </c>
      <c r="K8" s="20">
        <v>16866</v>
      </c>
      <c r="L8" s="18">
        <v>1</v>
      </c>
      <c r="M8" s="20">
        <v>2744</v>
      </c>
      <c r="N8" s="20">
        <v>3357</v>
      </c>
      <c r="O8" s="20">
        <v>27458</v>
      </c>
      <c r="P8" s="15">
        <f t="shared" si="0"/>
        <v>24101</v>
      </c>
    </row>
    <row r="9" spans="1:16" s="28" customFormat="1" ht="15.75" thickBot="1" x14ac:dyDescent="0.3">
      <c r="A9" s="12" t="s">
        <v>1239</v>
      </c>
      <c r="B9" s="13">
        <v>781</v>
      </c>
      <c r="C9" s="13" t="s">
        <v>1422</v>
      </c>
      <c r="D9" s="13"/>
      <c r="E9" s="14" t="s">
        <v>1278</v>
      </c>
      <c r="F9" s="13">
        <v>2</v>
      </c>
      <c r="G9" s="16">
        <v>4491</v>
      </c>
      <c r="H9" s="13"/>
      <c r="I9" s="13"/>
      <c r="J9" s="13">
        <v>6</v>
      </c>
      <c r="K9" s="16">
        <v>28748</v>
      </c>
      <c r="L9" s="13">
        <v>1</v>
      </c>
      <c r="M9" s="16">
        <v>2744</v>
      </c>
      <c r="N9" s="16">
        <v>3357</v>
      </c>
      <c r="O9" s="16">
        <v>39340</v>
      </c>
      <c r="P9" s="15">
        <f t="shared" si="0"/>
        <v>35983</v>
      </c>
    </row>
    <row r="10" spans="1:16" s="28" customFormat="1" ht="15.75" thickBot="1" x14ac:dyDescent="0.3">
      <c r="A10" s="17" t="s">
        <v>1240</v>
      </c>
      <c r="B10" s="18">
        <v>782</v>
      </c>
      <c r="C10" s="18" t="s">
        <v>1422</v>
      </c>
      <c r="D10" s="18"/>
      <c r="E10" s="19" t="s">
        <v>1278</v>
      </c>
      <c r="F10" s="18">
        <v>4</v>
      </c>
      <c r="G10" s="20">
        <v>12711</v>
      </c>
      <c r="H10" s="18"/>
      <c r="I10" s="18"/>
      <c r="J10" s="18">
        <v>6</v>
      </c>
      <c r="K10" s="20">
        <v>28748</v>
      </c>
      <c r="L10" s="18">
        <v>1</v>
      </c>
      <c r="M10" s="20">
        <v>2744</v>
      </c>
      <c r="N10" s="20">
        <v>3357</v>
      </c>
      <c r="O10" s="20">
        <v>47560</v>
      </c>
      <c r="P10" s="15">
        <f t="shared" si="0"/>
        <v>44203</v>
      </c>
    </row>
    <row r="11" spans="1:16" s="28" customFormat="1" ht="15.75" thickBot="1" x14ac:dyDescent="0.3">
      <c r="A11" s="12" t="s">
        <v>1241</v>
      </c>
      <c r="B11" s="13">
        <v>783</v>
      </c>
      <c r="C11" s="13" t="s">
        <v>1422</v>
      </c>
      <c r="D11" s="13"/>
      <c r="E11" s="14" t="s">
        <v>1278</v>
      </c>
      <c r="F11" s="13">
        <v>5</v>
      </c>
      <c r="G11" s="16">
        <v>17176</v>
      </c>
      <c r="H11" s="13"/>
      <c r="I11" s="13"/>
      <c r="J11" s="13">
        <v>7</v>
      </c>
      <c r="K11" s="16">
        <v>35682</v>
      </c>
      <c r="L11" s="13">
        <v>2</v>
      </c>
      <c r="M11" s="16">
        <v>5487</v>
      </c>
      <c r="N11" s="16">
        <v>3357</v>
      </c>
      <c r="O11" s="16">
        <v>61702</v>
      </c>
      <c r="P11" s="15">
        <f t="shared" si="0"/>
        <v>58345</v>
      </c>
    </row>
    <row r="12" spans="1:16" s="28" customFormat="1" ht="15.75" thickBot="1" x14ac:dyDescent="0.3">
      <c r="A12" s="17" t="s">
        <v>1242</v>
      </c>
      <c r="B12" s="18">
        <v>784</v>
      </c>
      <c r="C12" s="18" t="s">
        <v>1422</v>
      </c>
      <c r="D12" s="18"/>
      <c r="E12" s="19" t="s">
        <v>1278</v>
      </c>
      <c r="F12" s="18">
        <v>5</v>
      </c>
      <c r="G12" s="20">
        <v>17176</v>
      </c>
      <c r="H12" s="18"/>
      <c r="I12" s="18"/>
      <c r="J12" s="18">
        <v>7</v>
      </c>
      <c r="K12" s="20">
        <v>35682</v>
      </c>
      <c r="L12" s="18">
        <v>2</v>
      </c>
      <c r="M12" s="20">
        <v>5487</v>
      </c>
      <c r="N12" s="20">
        <v>3357</v>
      </c>
      <c r="O12" s="20">
        <v>61702</v>
      </c>
      <c r="P12" s="15">
        <f t="shared" si="0"/>
        <v>58345</v>
      </c>
    </row>
    <row r="13" spans="1:16" s="28" customFormat="1" ht="15.75" thickBot="1" x14ac:dyDescent="0.3">
      <c r="A13" s="12" t="s">
        <v>1243</v>
      </c>
      <c r="B13" s="13">
        <v>790</v>
      </c>
      <c r="C13" s="13" t="s">
        <v>1422</v>
      </c>
      <c r="D13" s="13"/>
      <c r="E13" s="14" t="s">
        <v>1278</v>
      </c>
      <c r="F13" s="13">
        <v>3</v>
      </c>
      <c r="G13" s="16">
        <v>8220</v>
      </c>
      <c r="H13" s="13"/>
      <c r="I13" s="13"/>
      <c r="J13" s="13">
        <v>7</v>
      </c>
      <c r="K13" s="16">
        <v>35682</v>
      </c>
      <c r="L13" s="13">
        <v>3</v>
      </c>
      <c r="M13" s="16">
        <v>8232</v>
      </c>
      <c r="N13" s="16">
        <v>3357</v>
      </c>
      <c r="O13" s="16">
        <v>55491</v>
      </c>
      <c r="P13" s="15">
        <f t="shared" si="0"/>
        <v>52134</v>
      </c>
    </row>
    <row r="14" spans="1:16" s="28" customFormat="1" ht="15.75" thickBot="1" x14ac:dyDescent="0.3">
      <c r="A14" s="17" t="s">
        <v>1230</v>
      </c>
      <c r="B14" s="18">
        <v>800</v>
      </c>
      <c r="C14" s="18" t="s">
        <v>1422</v>
      </c>
      <c r="D14" s="18"/>
      <c r="E14" s="19" t="s">
        <v>1278</v>
      </c>
      <c r="F14" s="18">
        <v>2</v>
      </c>
      <c r="G14" s="20">
        <v>4491</v>
      </c>
      <c r="H14" s="18"/>
      <c r="I14" s="18"/>
      <c r="J14" s="18">
        <v>3</v>
      </c>
      <c r="K14" s="20">
        <v>10907</v>
      </c>
      <c r="L14" s="18">
        <v>5</v>
      </c>
      <c r="M14" s="20">
        <v>13721</v>
      </c>
      <c r="N14" s="20">
        <v>3357</v>
      </c>
      <c r="O14" s="20">
        <v>32476</v>
      </c>
      <c r="P14" s="15">
        <f t="shared" si="0"/>
        <v>29119</v>
      </c>
    </row>
    <row r="15" spans="1:16" s="28" customFormat="1" ht="15.75" thickBot="1" x14ac:dyDescent="0.3">
      <c r="A15" s="12" t="s">
        <v>1231</v>
      </c>
      <c r="B15" s="13">
        <v>802</v>
      </c>
      <c r="C15" s="13" t="s">
        <v>1422</v>
      </c>
      <c r="D15" s="13"/>
      <c r="E15" s="14" t="s">
        <v>1278</v>
      </c>
      <c r="F15" s="13">
        <v>2</v>
      </c>
      <c r="G15" s="16">
        <v>4491</v>
      </c>
      <c r="H15" s="13"/>
      <c r="I15" s="13"/>
      <c r="J15" s="13">
        <v>4</v>
      </c>
      <c r="K15" s="16">
        <v>16866</v>
      </c>
      <c r="L15" s="13">
        <v>5</v>
      </c>
      <c r="M15" s="16">
        <v>13721</v>
      </c>
      <c r="N15" s="16">
        <v>3357</v>
      </c>
      <c r="O15" s="16">
        <v>38435</v>
      </c>
      <c r="P15" s="15">
        <f t="shared" si="0"/>
        <v>35078</v>
      </c>
    </row>
    <row r="16" spans="1:16" s="28" customFormat="1" ht="15.75" thickBot="1" x14ac:dyDescent="0.3">
      <c r="A16" s="17" t="s">
        <v>1232</v>
      </c>
      <c r="B16" s="18">
        <v>804</v>
      </c>
      <c r="C16" s="18" t="s">
        <v>1422</v>
      </c>
      <c r="D16" s="18"/>
      <c r="E16" s="19" t="s">
        <v>1278</v>
      </c>
      <c r="F16" s="18">
        <v>1</v>
      </c>
      <c r="G16" s="20">
        <v>1497</v>
      </c>
      <c r="H16" s="18"/>
      <c r="I16" s="18"/>
      <c r="J16" s="18">
        <v>5</v>
      </c>
      <c r="K16" s="20">
        <v>22788</v>
      </c>
      <c r="L16" s="18">
        <v>6</v>
      </c>
      <c r="M16" s="20">
        <v>16170</v>
      </c>
      <c r="N16" s="20">
        <v>3357</v>
      </c>
      <c r="O16" s="20">
        <v>43812</v>
      </c>
      <c r="P16" s="15">
        <f t="shared" si="0"/>
        <v>40455</v>
      </c>
    </row>
    <row r="17" spans="1:16" s="28" customFormat="1" ht="15.75" thickBot="1" x14ac:dyDescent="0.3">
      <c r="A17" s="12" t="s">
        <v>1233</v>
      </c>
      <c r="B17" s="13">
        <v>806</v>
      </c>
      <c r="C17" s="13" t="s">
        <v>1422</v>
      </c>
      <c r="D17" s="13"/>
      <c r="E17" s="14" t="s">
        <v>1278</v>
      </c>
      <c r="F17" s="13">
        <v>2</v>
      </c>
      <c r="G17" s="16">
        <v>4491</v>
      </c>
      <c r="H17" s="13">
        <v>0</v>
      </c>
      <c r="I17" s="16">
        <v>1281</v>
      </c>
      <c r="J17" s="13">
        <v>5</v>
      </c>
      <c r="K17" s="16">
        <v>22788</v>
      </c>
      <c r="L17" s="13">
        <v>6</v>
      </c>
      <c r="M17" s="16">
        <v>16170</v>
      </c>
      <c r="N17" s="16">
        <v>3357</v>
      </c>
      <c r="O17" s="16">
        <v>48087</v>
      </c>
      <c r="P17" s="15">
        <f t="shared" si="0"/>
        <v>44730</v>
      </c>
    </row>
    <row r="18" spans="1:16" s="28" customFormat="1" ht="15.75" thickBot="1" x14ac:dyDescent="0.3">
      <c r="A18" s="17" t="s">
        <v>1234</v>
      </c>
      <c r="B18" s="18">
        <v>808</v>
      </c>
      <c r="C18" s="18" t="s">
        <v>1422</v>
      </c>
      <c r="D18" s="18"/>
      <c r="E18" s="19" t="s">
        <v>1278</v>
      </c>
      <c r="F18" s="18">
        <v>4</v>
      </c>
      <c r="G18" s="20">
        <v>12711</v>
      </c>
      <c r="H18" s="18">
        <v>1</v>
      </c>
      <c r="I18" s="20">
        <v>3845</v>
      </c>
      <c r="J18" s="18">
        <v>5</v>
      </c>
      <c r="K18" s="20">
        <v>22788</v>
      </c>
      <c r="L18" s="18">
        <v>7</v>
      </c>
      <c r="M18" s="20">
        <v>18622</v>
      </c>
      <c r="N18" s="20">
        <v>3357</v>
      </c>
      <c r="O18" s="20">
        <v>61323</v>
      </c>
      <c r="P18" s="15">
        <f t="shared" si="0"/>
        <v>57966</v>
      </c>
    </row>
    <row r="19" spans="1:16" s="28" customFormat="1" ht="15.75" thickBot="1" x14ac:dyDescent="0.3">
      <c r="A19" s="12" t="s">
        <v>1235</v>
      </c>
      <c r="B19" s="13">
        <v>810</v>
      </c>
      <c r="C19" s="13" t="s">
        <v>1422</v>
      </c>
      <c r="D19" s="13"/>
      <c r="E19" s="14" t="s">
        <v>1278</v>
      </c>
      <c r="F19" s="13">
        <v>2</v>
      </c>
      <c r="G19" s="16">
        <v>4491</v>
      </c>
      <c r="H19" s="13"/>
      <c r="I19" s="13"/>
      <c r="J19" s="13">
        <v>6</v>
      </c>
      <c r="K19" s="16">
        <v>28748</v>
      </c>
      <c r="L19" s="13">
        <v>8</v>
      </c>
      <c r="M19" s="16">
        <v>21072</v>
      </c>
      <c r="N19" s="16">
        <v>3357</v>
      </c>
      <c r="O19" s="16">
        <v>57668</v>
      </c>
      <c r="P19" s="15">
        <f t="shared" si="0"/>
        <v>54311</v>
      </c>
    </row>
    <row r="20" spans="1:16" s="28" customFormat="1" ht="15.75" thickBot="1" x14ac:dyDescent="0.3">
      <c r="A20" s="17" t="s">
        <v>1236</v>
      </c>
      <c r="B20" s="18">
        <v>812</v>
      </c>
      <c r="C20" s="18" t="s">
        <v>1422</v>
      </c>
      <c r="D20" s="18"/>
      <c r="E20" s="19" t="s">
        <v>1278</v>
      </c>
      <c r="F20" s="18">
        <v>4</v>
      </c>
      <c r="G20" s="20">
        <v>12711</v>
      </c>
      <c r="H20" s="18">
        <v>0</v>
      </c>
      <c r="I20" s="20">
        <v>1281</v>
      </c>
      <c r="J20" s="18">
        <v>7</v>
      </c>
      <c r="K20" s="20">
        <v>35682</v>
      </c>
      <c r="L20" s="18">
        <v>9</v>
      </c>
      <c r="M20" s="20">
        <v>23523</v>
      </c>
      <c r="N20" s="20">
        <v>3357</v>
      </c>
      <c r="O20" s="20">
        <v>76554</v>
      </c>
      <c r="P20" s="15">
        <f t="shared" si="0"/>
        <v>73197</v>
      </c>
    </row>
    <row r="21" spans="1:16" s="28" customFormat="1" ht="15.75" thickBot="1" x14ac:dyDescent="0.3">
      <c r="A21" s="12" t="s">
        <v>1237</v>
      </c>
      <c r="B21" s="13">
        <v>814</v>
      </c>
      <c r="C21" s="13" t="s">
        <v>1422</v>
      </c>
      <c r="D21" s="13"/>
      <c r="E21" s="14" t="s">
        <v>1278</v>
      </c>
      <c r="F21" s="13">
        <v>7</v>
      </c>
      <c r="G21" s="16">
        <v>26894</v>
      </c>
      <c r="H21" s="13">
        <v>2</v>
      </c>
      <c r="I21" s="16">
        <v>7690</v>
      </c>
      <c r="J21" s="13">
        <v>3</v>
      </c>
      <c r="K21" s="16">
        <v>10907</v>
      </c>
      <c r="L21" s="13">
        <v>7</v>
      </c>
      <c r="M21" s="16">
        <v>18622</v>
      </c>
      <c r="N21" s="16">
        <v>3357</v>
      </c>
      <c r="O21" s="16">
        <v>67470</v>
      </c>
      <c r="P21" s="15">
        <f t="shared" si="0"/>
        <v>64113</v>
      </c>
    </row>
    <row r="22" spans="1:16" s="28" customFormat="1" ht="15.75" thickBot="1" x14ac:dyDescent="0.3">
      <c r="A22" s="17" t="s">
        <v>1198</v>
      </c>
      <c r="B22" s="18">
        <v>820</v>
      </c>
      <c r="C22" s="18" t="s">
        <v>1421</v>
      </c>
      <c r="D22" s="18"/>
      <c r="E22" s="19" t="s">
        <v>1278</v>
      </c>
      <c r="F22" s="18">
        <v>2</v>
      </c>
      <c r="G22" s="20">
        <v>4491</v>
      </c>
      <c r="H22" s="18">
        <v>0</v>
      </c>
      <c r="I22" s="20">
        <v>1281</v>
      </c>
      <c r="J22" s="18">
        <v>4</v>
      </c>
      <c r="K22" s="20">
        <v>16866</v>
      </c>
      <c r="L22" s="18">
        <v>6</v>
      </c>
      <c r="M22" s="20">
        <v>16170</v>
      </c>
      <c r="N22" s="20">
        <v>3357</v>
      </c>
      <c r="O22" s="20">
        <v>42165</v>
      </c>
      <c r="P22" s="15">
        <f t="shared" si="0"/>
        <v>38808</v>
      </c>
    </row>
    <row r="23" spans="1:16" s="28" customFormat="1" ht="15.75" thickBot="1" x14ac:dyDescent="0.3">
      <c r="A23" s="12" t="s">
        <v>1199</v>
      </c>
      <c r="B23" s="13">
        <v>822</v>
      </c>
      <c r="C23" s="13" t="s">
        <v>1421</v>
      </c>
      <c r="D23" s="13"/>
      <c r="E23" s="14" t="s">
        <v>1278</v>
      </c>
      <c r="F23" s="13">
        <v>4</v>
      </c>
      <c r="G23" s="16">
        <v>12711</v>
      </c>
      <c r="H23" s="13">
        <v>0</v>
      </c>
      <c r="I23" s="16">
        <v>1281</v>
      </c>
      <c r="J23" s="13">
        <v>4</v>
      </c>
      <c r="K23" s="16">
        <v>16866</v>
      </c>
      <c r="L23" s="13">
        <v>6</v>
      </c>
      <c r="M23" s="16">
        <v>16170</v>
      </c>
      <c r="N23" s="16">
        <v>3357</v>
      </c>
      <c r="O23" s="16">
        <v>50385</v>
      </c>
      <c r="P23" s="15">
        <f t="shared" si="0"/>
        <v>47028</v>
      </c>
    </row>
    <row r="24" spans="1:16" s="28" customFormat="1" ht="15.75" thickBot="1" x14ac:dyDescent="0.3">
      <c r="A24" s="17" t="s">
        <v>1200</v>
      </c>
      <c r="B24" s="18">
        <v>824</v>
      </c>
      <c r="C24" s="18" t="s">
        <v>1421</v>
      </c>
      <c r="D24" s="18"/>
      <c r="E24" s="19" t="s">
        <v>1278</v>
      </c>
      <c r="F24" s="18">
        <v>4</v>
      </c>
      <c r="G24" s="20">
        <v>12711</v>
      </c>
      <c r="H24" s="18">
        <v>0</v>
      </c>
      <c r="I24" s="20">
        <v>1281</v>
      </c>
      <c r="J24" s="18">
        <v>3</v>
      </c>
      <c r="K24" s="20">
        <v>10907</v>
      </c>
      <c r="L24" s="18">
        <v>7</v>
      </c>
      <c r="M24" s="20">
        <v>18622</v>
      </c>
      <c r="N24" s="20">
        <v>3357</v>
      </c>
      <c r="O24" s="20">
        <v>46878</v>
      </c>
      <c r="P24" s="15">
        <f t="shared" si="0"/>
        <v>43521</v>
      </c>
    </row>
    <row r="25" spans="1:16" s="28" customFormat="1" ht="15" thickBot="1" x14ac:dyDescent="0.35">
      <c r="A25" s="12" t="s">
        <v>1201</v>
      </c>
      <c r="B25" s="13">
        <v>826</v>
      </c>
      <c r="C25" s="13" t="s">
        <v>1421</v>
      </c>
      <c r="D25" s="13"/>
      <c r="E25" s="14" t="s">
        <v>1278</v>
      </c>
      <c r="F25" s="13">
        <v>4</v>
      </c>
      <c r="G25" s="16">
        <v>12711</v>
      </c>
      <c r="H25" s="13">
        <v>0</v>
      </c>
      <c r="I25" s="16">
        <v>1281</v>
      </c>
      <c r="J25" s="13">
        <v>4</v>
      </c>
      <c r="K25" s="16">
        <v>16866</v>
      </c>
      <c r="L25" s="13">
        <v>6</v>
      </c>
      <c r="M25" s="16">
        <v>16170</v>
      </c>
      <c r="N25" s="16">
        <v>3357</v>
      </c>
      <c r="O25" s="16">
        <v>50385</v>
      </c>
      <c r="P25" s="15">
        <f t="shared" si="0"/>
        <v>47028</v>
      </c>
    </row>
    <row r="26" spans="1:16" s="28" customFormat="1" ht="15" thickBot="1" x14ac:dyDescent="0.35">
      <c r="A26" s="17" t="s">
        <v>1202</v>
      </c>
      <c r="B26" s="18">
        <v>828</v>
      </c>
      <c r="C26" s="18" t="s">
        <v>1421</v>
      </c>
      <c r="D26" s="18"/>
      <c r="E26" s="19" t="s">
        <v>1278</v>
      </c>
      <c r="F26" s="18">
        <v>5</v>
      </c>
      <c r="G26" s="20">
        <v>17176</v>
      </c>
      <c r="H26" s="18">
        <v>1</v>
      </c>
      <c r="I26" s="20">
        <v>3845</v>
      </c>
      <c r="J26" s="18">
        <v>4</v>
      </c>
      <c r="K26" s="20">
        <v>16866</v>
      </c>
      <c r="L26" s="18">
        <v>7</v>
      </c>
      <c r="M26" s="20">
        <v>18622</v>
      </c>
      <c r="N26" s="20">
        <v>3357</v>
      </c>
      <c r="O26" s="20">
        <v>59866</v>
      </c>
      <c r="P26" s="15">
        <f t="shared" si="0"/>
        <v>56509</v>
      </c>
    </row>
    <row r="27" spans="1:16" s="28" customFormat="1" ht="15" thickBot="1" x14ac:dyDescent="0.35">
      <c r="A27" s="12" t="s">
        <v>1203</v>
      </c>
      <c r="B27" s="13">
        <v>830</v>
      </c>
      <c r="C27" s="13" t="s">
        <v>1421</v>
      </c>
      <c r="D27" s="13"/>
      <c r="E27" s="14" t="s">
        <v>1278</v>
      </c>
      <c r="F27" s="13">
        <v>6</v>
      </c>
      <c r="G27" s="16">
        <v>21667</v>
      </c>
      <c r="H27" s="13">
        <v>2</v>
      </c>
      <c r="I27" s="16">
        <v>7690</v>
      </c>
      <c r="J27" s="13">
        <v>4</v>
      </c>
      <c r="K27" s="16">
        <v>16866</v>
      </c>
      <c r="L27" s="13">
        <v>6</v>
      </c>
      <c r="M27" s="16">
        <v>16170</v>
      </c>
      <c r="N27" s="16">
        <v>3357</v>
      </c>
      <c r="O27" s="16">
        <v>65750</v>
      </c>
      <c r="P27" s="15">
        <f t="shared" si="0"/>
        <v>62393</v>
      </c>
    </row>
    <row r="28" spans="1:16" s="28" customFormat="1" ht="15" thickBot="1" x14ac:dyDescent="0.35">
      <c r="A28" s="17" t="s">
        <v>1204</v>
      </c>
      <c r="B28" s="18">
        <v>832</v>
      </c>
      <c r="C28" s="18" t="s">
        <v>1421</v>
      </c>
      <c r="D28" s="18"/>
      <c r="E28" s="19" t="s">
        <v>1278</v>
      </c>
      <c r="F28" s="18">
        <v>6</v>
      </c>
      <c r="G28" s="20">
        <v>21667</v>
      </c>
      <c r="H28" s="18">
        <v>2</v>
      </c>
      <c r="I28" s="20">
        <v>7690</v>
      </c>
      <c r="J28" s="18">
        <v>5</v>
      </c>
      <c r="K28" s="20">
        <v>22788</v>
      </c>
      <c r="L28" s="18">
        <v>5</v>
      </c>
      <c r="M28" s="20">
        <v>13721</v>
      </c>
      <c r="N28" s="20">
        <v>3357</v>
      </c>
      <c r="O28" s="20">
        <v>69223</v>
      </c>
      <c r="P28" s="15">
        <f t="shared" si="0"/>
        <v>65866</v>
      </c>
    </row>
    <row r="29" spans="1:16" s="28" customFormat="1" ht="15" thickBot="1" x14ac:dyDescent="0.35">
      <c r="A29" s="12" t="s">
        <v>1209</v>
      </c>
      <c r="B29" s="13">
        <v>840</v>
      </c>
      <c r="C29" s="13" t="s">
        <v>1425</v>
      </c>
      <c r="D29" s="13"/>
      <c r="E29" s="14" t="s">
        <v>1278</v>
      </c>
      <c r="F29" s="13">
        <v>2</v>
      </c>
      <c r="G29" s="16">
        <v>4491</v>
      </c>
      <c r="H29" s="13"/>
      <c r="I29" s="13"/>
      <c r="J29" s="13">
        <v>3</v>
      </c>
      <c r="K29" s="16">
        <v>10907</v>
      </c>
      <c r="L29" s="13">
        <v>6</v>
      </c>
      <c r="M29" s="16">
        <v>16170</v>
      </c>
      <c r="N29" s="16">
        <v>3357</v>
      </c>
      <c r="O29" s="16">
        <v>34925</v>
      </c>
      <c r="P29" s="15">
        <f t="shared" si="0"/>
        <v>31568</v>
      </c>
    </row>
    <row r="30" spans="1:16" s="28" customFormat="1" ht="15" thickBot="1" x14ac:dyDescent="0.35">
      <c r="A30" s="17" t="s">
        <v>1210</v>
      </c>
      <c r="B30" s="18">
        <v>842</v>
      </c>
      <c r="C30" s="18" t="s">
        <v>1425</v>
      </c>
      <c r="D30" s="18"/>
      <c r="E30" s="19" t="s">
        <v>1278</v>
      </c>
      <c r="F30" s="18">
        <v>2</v>
      </c>
      <c r="G30" s="20">
        <v>4491</v>
      </c>
      <c r="H30" s="18"/>
      <c r="I30" s="18"/>
      <c r="J30" s="18">
        <v>5</v>
      </c>
      <c r="K30" s="20">
        <v>22788</v>
      </c>
      <c r="L30" s="18">
        <v>5</v>
      </c>
      <c r="M30" s="20">
        <v>13721</v>
      </c>
      <c r="N30" s="20">
        <v>3357</v>
      </c>
      <c r="O30" s="20">
        <v>44357</v>
      </c>
      <c r="P30" s="15">
        <f t="shared" si="0"/>
        <v>41000</v>
      </c>
    </row>
    <row r="31" spans="1:16" s="28" customFormat="1" ht="15" thickBot="1" x14ac:dyDescent="0.35">
      <c r="A31" s="12" t="s">
        <v>1211</v>
      </c>
      <c r="B31" s="13">
        <v>844</v>
      </c>
      <c r="C31" s="13" t="s">
        <v>1425</v>
      </c>
      <c r="D31" s="13"/>
      <c r="E31" s="14" t="s">
        <v>1278</v>
      </c>
      <c r="F31" s="13">
        <v>3</v>
      </c>
      <c r="G31" s="16">
        <v>8220</v>
      </c>
      <c r="H31" s="13">
        <v>1</v>
      </c>
      <c r="I31" s="16">
        <v>3845</v>
      </c>
      <c r="J31" s="13">
        <v>5</v>
      </c>
      <c r="K31" s="16">
        <v>22788</v>
      </c>
      <c r="L31" s="13">
        <v>5</v>
      </c>
      <c r="M31" s="16">
        <v>13721</v>
      </c>
      <c r="N31" s="16">
        <v>3357</v>
      </c>
      <c r="O31" s="16">
        <v>51931</v>
      </c>
      <c r="P31" s="15">
        <f t="shared" si="0"/>
        <v>48574</v>
      </c>
    </row>
    <row r="32" spans="1:16" s="28" customFormat="1" ht="15" thickBot="1" x14ac:dyDescent="0.35">
      <c r="A32" s="17" t="s">
        <v>1212</v>
      </c>
      <c r="B32" s="18">
        <v>846</v>
      </c>
      <c r="C32" s="18" t="s">
        <v>1425</v>
      </c>
      <c r="D32" s="18"/>
      <c r="E32" s="19" t="s">
        <v>1278</v>
      </c>
      <c r="F32" s="18">
        <v>6</v>
      </c>
      <c r="G32" s="20">
        <v>21667</v>
      </c>
      <c r="H32" s="18">
        <v>1</v>
      </c>
      <c r="I32" s="20">
        <v>3845</v>
      </c>
      <c r="J32" s="18">
        <v>5</v>
      </c>
      <c r="K32" s="20">
        <v>22788</v>
      </c>
      <c r="L32" s="18">
        <v>7</v>
      </c>
      <c r="M32" s="20">
        <v>18622</v>
      </c>
      <c r="N32" s="20">
        <v>3357</v>
      </c>
      <c r="O32" s="20">
        <v>70279</v>
      </c>
      <c r="P32" s="15">
        <f t="shared" si="0"/>
        <v>66922</v>
      </c>
    </row>
    <row r="33" spans="1:16" s="28" customFormat="1" ht="15" thickBot="1" x14ac:dyDescent="0.35">
      <c r="A33" s="12" t="s">
        <v>1213</v>
      </c>
      <c r="B33" s="13">
        <v>848</v>
      </c>
      <c r="C33" s="13" t="s">
        <v>1425</v>
      </c>
      <c r="D33" s="13"/>
      <c r="E33" s="14" t="s">
        <v>1278</v>
      </c>
      <c r="F33" s="13">
        <v>6</v>
      </c>
      <c r="G33" s="16">
        <v>21667</v>
      </c>
      <c r="H33" s="13">
        <v>1</v>
      </c>
      <c r="I33" s="16">
        <v>3845</v>
      </c>
      <c r="J33" s="13">
        <v>6</v>
      </c>
      <c r="K33" s="16">
        <v>28748</v>
      </c>
      <c r="L33" s="13">
        <v>7</v>
      </c>
      <c r="M33" s="16">
        <v>18622</v>
      </c>
      <c r="N33" s="16">
        <v>3357</v>
      </c>
      <c r="O33" s="16">
        <v>76239</v>
      </c>
      <c r="P33" s="15">
        <f t="shared" si="0"/>
        <v>72882</v>
      </c>
    </row>
    <row r="34" spans="1:16" s="28" customFormat="1" ht="15" thickBot="1" x14ac:dyDescent="0.35">
      <c r="A34" s="17" t="s">
        <v>1205</v>
      </c>
      <c r="B34" s="18">
        <v>850</v>
      </c>
      <c r="C34" s="18" t="s">
        <v>1425</v>
      </c>
      <c r="D34" s="18"/>
      <c r="E34" s="19" t="s">
        <v>1278</v>
      </c>
      <c r="F34" s="18">
        <v>1</v>
      </c>
      <c r="G34" s="20">
        <v>1497</v>
      </c>
      <c r="H34" s="18"/>
      <c r="I34" s="18"/>
      <c r="J34" s="18">
        <v>5</v>
      </c>
      <c r="K34" s="20">
        <v>22788</v>
      </c>
      <c r="L34" s="18">
        <v>8</v>
      </c>
      <c r="M34" s="20">
        <v>21072</v>
      </c>
      <c r="N34" s="20">
        <v>3357</v>
      </c>
      <c r="O34" s="20">
        <v>48714</v>
      </c>
      <c r="P34" s="15">
        <f t="shared" si="0"/>
        <v>45357</v>
      </c>
    </row>
    <row r="35" spans="1:16" s="28" customFormat="1" ht="15" thickBot="1" x14ac:dyDescent="0.35">
      <c r="A35" s="12" t="s">
        <v>1206</v>
      </c>
      <c r="B35" s="13">
        <v>852</v>
      </c>
      <c r="C35" s="13" t="s">
        <v>1425</v>
      </c>
      <c r="D35" s="13"/>
      <c r="E35" s="14" t="s">
        <v>1278</v>
      </c>
      <c r="F35" s="13">
        <v>5</v>
      </c>
      <c r="G35" s="16">
        <v>17176</v>
      </c>
      <c r="H35" s="13">
        <v>2</v>
      </c>
      <c r="I35" s="16">
        <v>7690</v>
      </c>
      <c r="J35" s="13">
        <v>7</v>
      </c>
      <c r="K35" s="16">
        <v>35682</v>
      </c>
      <c r="L35" s="13">
        <v>9</v>
      </c>
      <c r="M35" s="34">
        <v>23523</v>
      </c>
      <c r="N35" s="21">
        <v>3357</v>
      </c>
      <c r="O35" s="16">
        <v>87428</v>
      </c>
      <c r="P35" s="15">
        <f t="shared" si="0"/>
        <v>84071</v>
      </c>
    </row>
    <row r="36" spans="1:16" s="28" customFormat="1" ht="15" thickBot="1" x14ac:dyDescent="0.35">
      <c r="A36" s="17" t="s">
        <v>1207</v>
      </c>
      <c r="B36" s="18">
        <v>854</v>
      </c>
      <c r="C36" s="18" t="s">
        <v>1425</v>
      </c>
      <c r="D36" s="18"/>
      <c r="E36" s="19" t="s">
        <v>1278</v>
      </c>
      <c r="F36" s="18">
        <v>7</v>
      </c>
      <c r="G36" s="20">
        <v>26894</v>
      </c>
      <c r="H36" s="18">
        <v>3</v>
      </c>
      <c r="I36" s="20">
        <v>14099</v>
      </c>
      <c r="J36" s="18">
        <v>7</v>
      </c>
      <c r="K36" s="20">
        <v>35682</v>
      </c>
      <c r="L36" s="18">
        <v>9</v>
      </c>
      <c r="M36" s="20">
        <v>23523</v>
      </c>
      <c r="N36" s="20">
        <v>3357</v>
      </c>
      <c r="O36" s="20">
        <v>103555</v>
      </c>
      <c r="P36" s="15">
        <f t="shared" si="0"/>
        <v>100198</v>
      </c>
    </row>
    <row r="37" spans="1:16" s="28" customFormat="1" ht="15" thickBot="1" x14ac:dyDescent="0.35">
      <c r="A37" s="12" t="s">
        <v>1208</v>
      </c>
      <c r="B37" s="13">
        <v>856</v>
      </c>
      <c r="C37" s="13" t="s">
        <v>1425</v>
      </c>
      <c r="D37" s="13"/>
      <c r="E37" s="14" t="s">
        <v>1278</v>
      </c>
      <c r="F37" s="13">
        <v>3</v>
      </c>
      <c r="G37" s="16">
        <v>8220</v>
      </c>
      <c r="H37" s="13"/>
      <c r="I37" s="13"/>
      <c r="J37" s="13">
        <v>7</v>
      </c>
      <c r="K37" s="16">
        <v>35682</v>
      </c>
      <c r="L37" s="13">
        <v>7</v>
      </c>
      <c r="M37" s="16">
        <v>18622</v>
      </c>
      <c r="N37" s="16">
        <v>3357</v>
      </c>
      <c r="O37" s="16">
        <v>65881</v>
      </c>
      <c r="P37" s="15">
        <f t="shared" si="0"/>
        <v>62524</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dimension ref="A1:P48"/>
  <sheetViews>
    <sheetView workbookViewId="0">
      <selection activeCell="A48" sqref="A1:A48"/>
    </sheetView>
  </sheetViews>
  <sheetFormatPr defaultRowHeight="14.4" x14ac:dyDescent="0.3"/>
  <sheetData>
    <row r="1" spans="1:16" s="28" customFormat="1" ht="15.75" thickBot="1" x14ac:dyDescent="0.3">
      <c r="A1" s="12" t="s">
        <v>1263</v>
      </c>
      <c r="B1" s="13">
        <v>860</v>
      </c>
      <c r="C1" s="13" t="s">
        <v>1426</v>
      </c>
      <c r="D1" s="13"/>
      <c r="E1" s="14" t="s">
        <v>1148</v>
      </c>
      <c r="F1" s="13">
        <v>1</v>
      </c>
      <c r="G1" s="16">
        <v>1497</v>
      </c>
      <c r="H1" s="13">
        <v>0</v>
      </c>
      <c r="I1" s="16">
        <v>1281</v>
      </c>
      <c r="J1" s="13">
        <v>3</v>
      </c>
      <c r="K1" s="16">
        <v>10907</v>
      </c>
      <c r="L1" s="13"/>
      <c r="M1" s="13"/>
      <c r="N1" s="16">
        <v>3357</v>
      </c>
      <c r="O1" s="16">
        <v>17042</v>
      </c>
      <c r="P1" s="15">
        <f t="shared" ref="P1:P47" si="0">O1-N1</f>
        <v>13685</v>
      </c>
    </row>
    <row r="2" spans="1:16" s="28" customFormat="1" ht="15.75" thickBot="1" x14ac:dyDescent="0.3">
      <c r="A2" s="17" t="s">
        <v>1265</v>
      </c>
      <c r="B2" s="18">
        <v>862</v>
      </c>
      <c r="C2" s="18" t="s">
        <v>1426</v>
      </c>
      <c r="D2" s="18"/>
      <c r="E2" s="19" t="s">
        <v>1148</v>
      </c>
      <c r="F2" s="18">
        <v>1</v>
      </c>
      <c r="G2" s="20">
        <v>1497</v>
      </c>
      <c r="H2" s="18">
        <v>0</v>
      </c>
      <c r="I2" s="20">
        <v>1281</v>
      </c>
      <c r="J2" s="18">
        <v>4</v>
      </c>
      <c r="K2" s="20">
        <v>16866</v>
      </c>
      <c r="L2" s="18"/>
      <c r="M2" s="18"/>
      <c r="N2" s="20">
        <v>3357</v>
      </c>
      <c r="O2" s="20">
        <v>23001</v>
      </c>
      <c r="P2" s="15">
        <f t="shared" si="0"/>
        <v>19644</v>
      </c>
    </row>
    <row r="3" spans="1:16" s="28" customFormat="1" ht="15.75" thickBot="1" x14ac:dyDescent="0.3">
      <c r="A3" s="12" t="s">
        <v>1266</v>
      </c>
      <c r="B3" s="13">
        <v>864</v>
      </c>
      <c r="C3" s="13" t="s">
        <v>1426</v>
      </c>
      <c r="D3" s="13"/>
      <c r="E3" s="14" t="s">
        <v>1148</v>
      </c>
      <c r="F3" s="13">
        <v>1</v>
      </c>
      <c r="G3" s="16">
        <v>1497</v>
      </c>
      <c r="H3" s="13">
        <v>0</v>
      </c>
      <c r="I3" s="16">
        <v>1281</v>
      </c>
      <c r="J3" s="13">
        <v>5</v>
      </c>
      <c r="K3" s="16">
        <v>22788</v>
      </c>
      <c r="L3" s="13"/>
      <c r="M3" s="13"/>
      <c r="N3" s="16">
        <v>3357</v>
      </c>
      <c r="O3" s="16">
        <v>28923</v>
      </c>
      <c r="P3" s="15">
        <f t="shared" si="0"/>
        <v>25566</v>
      </c>
    </row>
    <row r="4" spans="1:16" s="28" customFormat="1" ht="15.75" thickBot="1" x14ac:dyDescent="0.3">
      <c r="A4" s="17" t="s">
        <v>1267</v>
      </c>
      <c r="B4" s="18">
        <v>766</v>
      </c>
      <c r="C4" s="18" t="s">
        <v>1426</v>
      </c>
      <c r="D4" s="18"/>
      <c r="E4" s="19" t="s">
        <v>1148</v>
      </c>
      <c r="F4" s="18">
        <v>3</v>
      </c>
      <c r="G4" s="20">
        <v>8220</v>
      </c>
      <c r="H4" s="18">
        <v>1</v>
      </c>
      <c r="I4" s="20">
        <v>3845</v>
      </c>
      <c r="J4" s="18">
        <v>4</v>
      </c>
      <c r="K4" s="20">
        <v>16866</v>
      </c>
      <c r="L4" s="18"/>
      <c r="M4" s="18"/>
      <c r="N4" s="20">
        <v>3357</v>
      </c>
      <c r="O4" s="20">
        <v>32288</v>
      </c>
      <c r="P4" s="15">
        <f t="shared" si="0"/>
        <v>28931</v>
      </c>
    </row>
    <row r="5" spans="1:16" s="28" customFormat="1" ht="15.75" thickBot="1" x14ac:dyDescent="0.3">
      <c r="A5" s="12" t="s">
        <v>1268</v>
      </c>
      <c r="B5" s="13">
        <v>768</v>
      </c>
      <c r="C5" s="13" t="s">
        <v>1426</v>
      </c>
      <c r="D5" s="13"/>
      <c r="E5" s="14" t="s">
        <v>1148</v>
      </c>
      <c r="F5" s="13">
        <v>2</v>
      </c>
      <c r="G5" s="16">
        <v>4491</v>
      </c>
      <c r="H5" s="13">
        <v>1</v>
      </c>
      <c r="I5" s="16">
        <v>3845</v>
      </c>
      <c r="J5" s="13">
        <v>5</v>
      </c>
      <c r="K5" s="16">
        <v>22788</v>
      </c>
      <c r="L5" s="13"/>
      <c r="M5" s="13"/>
      <c r="N5" s="16">
        <v>3357</v>
      </c>
      <c r="O5" s="16">
        <v>34481</v>
      </c>
      <c r="P5" s="15">
        <f t="shared" si="0"/>
        <v>31124</v>
      </c>
    </row>
    <row r="6" spans="1:16" s="28" customFormat="1" ht="15.75" thickBot="1" x14ac:dyDescent="0.3">
      <c r="A6" s="17" t="s">
        <v>1269</v>
      </c>
      <c r="B6" s="18">
        <v>770</v>
      </c>
      <c r="C6" s="18" t="s">
        <v>1426</v>
      </c>
      <c r="D6" s="18"/>
      <c r="E6" s="19" t="s">
        <v>1148</v>
      </c>
      <c r="F6" s="18">
        <v>4</v>
      </c>
      <c r="G6" s="20">
        <v>12711</v>
      </c>
      <c r="H6" s="18">
        <v>2</v>
      </c>
      <c r="I6" s="20">
        <v>7690</v>
      </c>
      <c r="J6" s="18">
        <v>5</v>
      </c>
      <c r="K6" s="20">
        <v>22788</v>
      </c>
      <c r="L6" s="18"/>
      <c r="M6" s="18"/>
      <c r="N6" s="20">
        <v>3357</v>
      </c>
      <c r="O6" s="20">
        <v>46546</v>
      </c>
      <c r="P6" s="15">
        <f t="shared" si="0"/>
        <v>43189</v>
      </c>
    </row>
    <row r="7" spans="1:16" s="28" customFormat="1" ht="15.75" thickBot="1" x14ac:dyDescent="0.3">
      <c r="A7" s="12" t="s">
        <v>1270</v>
      </c>
      <c r="B7" s="13">
        <v>772</v>
      </c>
      <c r="C7" s="13" t="s">
        <v>1426</v>
      </c>
      <c r="D7" s="13"/>
      <c r="E7" s="14" t="s">
        <v>1148</v>
      </c>
      <c r="F7" s="13">
        <v>3</v>
      </c>
      <c r="G7" s="16">
        <v>8220</v>
      </c>
      <c r="H7" s="13">
        <v>2</v>
      </c>
      <c r="I7" s="16">
        <v>7690</v>
      </c>
      <c r="J7" s="13">
        <v>7</v>
      </c>
      <c r="K7" s="16">
        <v>35682</v>
      </c>
      <c r="L7" s="13"/>
      <c r="M7" s="13"/>
      <c r="N7" s="16">
        <v>3357</v>
      </c>
      <c r="O7" s="16">
        <v>54949</v>
      </c>
      <c r="P7" s="15">
        <f t="shared" si="0"/>
        <v>51592</v>
      </c>
    </row>
    <row r="8" spans="1:16" s="28" customFormat="1" ht="15.75" thickBot="1" x14ac:dyDescent="0.3">
      <c r="A8" s="17" t="s">
        <v>1238</v>
      </c>
      <c r="B8" s="18">
        <v>780</v>
      </c>
      <c r="C8" s="18" t="s">
        <v>1422</v>
      </c>
      <c r="D8" s="18"/>
      <c r="E8" s="19" t="s">
        <v>1148</v>
      </c>
      <c r="F8" s="18">
        <v>2</v>
      </c>
      <c r="G8" s="20">
        <v>4491</v>
      </c>
      <c r="H8" s="18"/>
      <c r="I8" s="18"/>
      <c r="J8" s="18">
        <v>4</v>
      </c>
      <c r="K8" s="20">
        <v>16866</v>
      </c>
      <c r="L8" s="18"/>
      <c r="M8" s="18"/>
      <c r="N8" s="20">
        <v>3357</v>
      </c>
      <c r="O8" s="20">
        <v>24714</v>
      </c>
      <c r="P8" s="15">
        <f t="shared" si="0"/>
        <v>21357</v>
      </c>
    </row>
    <row r="9" spans="1:16" s="28" customFormat="1" ht="15.75" thickBot="1" x14ac:dyDescent="0.3">
      <c r="A9" s="12" t="s">
        <v>1239</v>
      </c>
      <c r="B9" s="13">
        <v>781</v>
      </c>
      <c r="C9" s="13" t="s">
        <v>1422</v>
      </c>
      <c r="D9" s="13"/>
      <c r="E9" s="14" t="s">
        <v>1148</v>
      </c>
      <c r="F9" s="13">
        <v>2</v>
      </c>
      <c r="G9" s="16">
        <v>4491</v>
      </c>
      <c r="H9" s="13"/>
      <c r="I9" s="13"/>
      <c r="J9" s="13">
        <v>6</v>
      </c>
      <c r="K9" s="16">
        <v>28748</v>
      </c>
      <c r="L9" s="13"/>
      <c r="M9" s="13"/>
      <c r="N9" s="16">
        <v>3357</v>
      </c>
      <c r="O9" s="16">
        <v>36596</v>
      </c>
      <c r="P9" s="15">
        <f t="shared" si="0"/>
        <v>33239</v>
      </c>
    </row>
    <row r="10" spans="1:16" s="28" customFormat="1" ht="15.75" thickBot="1" x14ac:dyDescent="0.3">
      <c r="A10" s="17" t="s">
        <v>1240</v>
      </c>
      <c r="B10" s="18">
        <v>782</v>
      </c>
      <c r="C10" s="18" t="s">
        <v>1422</v>
      </c>
      <c r="D10" s="18"/>
      <c r="E10" s="19" t="s">
        <v>1148</v>
      </c>
      <c r="F10" s="18">
        <v>4</v>
      </c>
      <c r="G10" s="20">
        <v>12711</v>
      </c>
      <c r="H10" s="18"/>
      <c r="I10" s="18"/>
      <c r="J10" s="18">
        <v>6</v>
      </c>
      <c r="K10" s="20">
        <v>28748</v>
      </c>
      <c r="L10" s="18"/>
      <c r="M10" s="18"/>
      <c r="N10" s="20">
        <v>3357</v>
      </c>
      <c r="O10" s="20">
        <v>44816</v>
      </c>
      <c r="P10" s="15">
        <f t="shared" si="0"/>
        <v>41459</v>
      </c>
    </row>
    <row r="11" spans="1:16" s="28" customFormat="1" ht="15.75" thickBot="1" x14ac:dyDescent="0.3">
      <c r="A11" s="12" t="s">
        <v>1241</v>
      </c>
      <c r="B11" s="13">
        <v>783</v>
      </c>
      <c r="C11" s="13" t="s">
        <v>1422</v>
      </c>
      <c r="D11" s="13"/>
      <c r="E11" s="14" t="s">
        <v>1148</v>
      </c>
      <c r="F11" s="13">
        <v>5</v>
      </c>
      <c r="G11" s="16">
        <v>17176</v>
      </c>
      <c r="H11" s="13"/>
      <c r="I11" s="13"/>
      <c r="J11" s="13">
        <v>7</v>
      </c>
      <c r="K11" s="16">
        <v>35682</v>
      </c>
      <c r="L11" s="13"/>
      <c r="M11" s="13"/>
      <c r="N11" s="16">
        <v>3357</v>
      </c>
      <c r="O11" s="16">
        <v>56215</v>
      </c>
      <c r="P11" s="15">
        <f t="shared" si="0"/>
        <v>52858</v>
      </c>
    </row>
    <row r="12" spans="1:16" s="28" customFormat="1" ht="15.75" thickBot="1" x14ac:dyDescent="0.3">
      <c r="A12" s="17" t="s">
        <v>1242</v>
      </c>
      <c r="B12" s="18">
        <v>784</v>
      </c>
      <c r="C12" s="18" t="s">
        <v>1422</v>
      </c>
      <c r="D12" s="18"/>
      <c r="E12" s="19" t="s">
        <v>1148</v>
      </c>
      <c r="F12" s="18">
        <v>5</v>
      </c>
      <c r="G12" s="20">
        <v>17176</v>
      </c>
      <c r="H12" s="18"/>
      <c r="I12" s="18"/>
      <c r="J12" s="18">
        <v>7</v>
      </c>
      <c r="K12" s="20">
        <v>35682</v>
      </c>
      <c r="L12" s="18"/>
      <c r="M12" s="18"/>
      <c r="N12" s="20">
        <v>3357</v>
      </c>
      <c r="O12" s="20">
        <v>56215</v>
      </c>
      <c r="P12" s="15">
        <f t="shared" si="0"/>
        <v>52858</v>
      </c>
    </row>
    <row r="13" spans="1:16" s="28" customFormat="1" ht="15.75" thickBot="1" x14ac:dyDescent="0.3">
      <c r="A13" s="12" t="s">
        <v>1243</v>
      </c>
      <c r="B13" s="13">
        <v>790</v>
      </c>
      <c r="C13" s="13" t="s">
        <v>1422</v>
      </c>
      <c r="D13" s="13"/>
      <c r="E13" s="14" t="s">
        <v>1148</v>
      </c>
      <c r="F13" s="13">
        <v>3</v>
      </c>
      <c r="G13" s="16">
        <v>8220</v>
      </c>
      <c r="H13" s="13"/>
      <c r="I13" s="13"/>
      <c r="J13" s="13">
        <v>7</v>
      </c>
      <c r="K13" s="16">
        <v>35682</v>
      </c>
      <c r="L13" s="13"/>
      <c r="M13" s="33"/>
      <c r="N13" s="16">
        <v>3357</v>
      </c>
      <c r="O13" s="16">
        <v>47259</v>
      </c>
      <c r="P13" s="15">
        <f t="shared" si="0"/>
        <v>43902</v>
      </c>
    </row>
    <row r="14" spans="1:16" s="28" customFormat="1" ht="15.75" thickBot="1" x14ac:dyDescent="0.3">
      <c r="A14" s="17" t="s">
        <v>1230</v>
      </c>
      <c r="B14" s="18">
        <v>800</v>
      </c>
      <c r="C14" s="18" t="s">
        <v>1422</v>
      </c>
      <c r="D14" s="18"/>
      <c r="E14" s="19" t="s">
        <v>1148</v>
      </c>
      <c r="F14" s="18">
        <v>2</v>
      </c>
      <c r="G14" s="20">
        <v>4491</v>
      </c>
      <c r="H14" s="18"/>
      <c r="I14" s="18"/>
      <c r="J14" s="18">
        <v>3</v>
      </c>
      <c r="K14" s="20">
        <v>10907</v>
      </c>
      <c r="L14" s="18"/>
      <c r="M14" s="18"/>
      <c r="N14" s="20">
        <v>3357</v>
      </c>
      <c r="O14" s="20">
        <v>18755</v>
      </c>
      <c r="P14" s="15">
        <f t="shared" si="0"/>
        <v>15398</v>
      </c>
    </row>
    <row r="15" spans="1:16" s="28" customFormat="1" ht="15.75" thickBot="1" x14ac:dyDescent="0.3">
      <c r="A15" s="12" t="s">
        <v>1231</v>
      </c>
      <c r="B15" s="13">
        <v>802</v>
      </c>
      <c r="C15" s="13" t="s">
        <v>1422</v>
      </c>
      <c r="D15" s="13"/>
      <c r="E15" s="14" t="s">
        <v>1148</v>
      </c>
      <c r="F15" s="13">
        <v>2</v>
      </c>
      <c r="G15" s="16">
        <v>4491</v>
      </c>
      <c r="H15" s="13"/>
      <c r="I15" s="13"/>
      <c r="J15" s="13">
        <v>4</v>
      </c>
      <c r="K15" s="16">
        <v>16866</v>
      </c>
      <c r="L15" s="13"/>
      <c r="M15" s="13"/>
      <c r="N15" s="16">
        <v>3357</v>
      </c>
      <c r="O15" s="16">
        <v>24714</v>
      </c>
      <c r="P15" s="15">
        <f t="shared" si="0"/>
        <v>21357</v>
      </c>
    </row>
    <row r="16" spans="1:16" s="28" customFormat="1" ht="15.75" thickBot="1" x14ac:dyDescent="0.3">
      <c r="A16" s="17" t="s">
        <v>1232</v>
      </c>
      <c r="B16" s="18">
        <v>804</v>
      </c>
      <c r="C16" s="18" t="s">
        <v>1422</v>
      </c>
      <c r="D16" s="18"/>
      <c r="E16" s="19" t="s">
        <v>1148</v>
      </c>
      <c r="F16" s="18">
        <v>1</v>
      </c>
      <c r="G16" s="20">
        <v>1497</v>
      </c>
      <c r="H16" s="18"/>
      <c r="I16" s="18"/>
      <c r="J16" s="18">
        <v>5</v>
      </c>
      <c r="K16" s="20">
        <v>22788</v>
      </c>
      <c r="L16" s="18"/>
      <c r="M16" s="18"/>
      <c r="N16" s="20">
        <v>3357</v>
      </c>
      <c r="O16" s="20">
        <v>27642</v>
      </c>
      <c r="P16" s="15">
        <f t="shared" si="0"/>
        <v>24285</v>
      </c>
    </row>
    <row r="17" spans="1:16" s="28" customFormat="1" ht="15.75" thickBot="1" x14ac:dyDescent="0.3">
      <c r="A17" s="12" t="s">
        <v>1233</v>
      </c>
      <c r="B17" s="13">
        <v>806</v>
      </c>
      <c r="C17" s="13" t="s">
        <v>1422</v>
      </c>
      <c r="D17" s="13"/>
      <c r="E17" s="14" t="s">
        <v>1148</v>
      </c>
      <c r="F17" s="13">
        <v>2</v>
      </c>
      <c r="G17" s="16">
        <v>4491</v>
      </c>
      <c r="H17" s="13">
        <v>0</v>
      </c>
      <c r="I17" s="16">
        <v>1281</v>
      </c>
      <c r="J17" s="13">
        <v>5</v>
      </c>
      <c r="K17" s="16">
        <v>22788</v>
      </c>
      <c r="L17" s="13"/>
      <c r="M17" s="13"/>
      <c r="N17" s="16">
        <v>3357</v>
      </c>
      <c r="O17" s="16">
        <v>31917</v>
      </c>
      <c r="P17" s="15">
        <f t="shared" si="0"/>
        <v>28560</v>
      </c>
    </row>
    <row r="18" spans="1:16" s="28" customFormat="1" ht="15.75" thickBot="1" x14ac:dyDescent="0.3">
      <c r="A18" s="17" t="s">
        <v>1234</v>
      </c>
      <c r="B18" s="18">
        <v>808</v>
      </c>
      <c r="C18" s="18" t="s">
        <v>1422</v>
      </c>
      <c r="D18" s="18"/>
      <c r="E18" s="19" t="s">
        <v>1148</v>
      </c>
      <c r="F18" s="18">
        <v>4</v>
      </c>
      <c r="G18" s="20">
        <v>12711</v>
      </c>
      <c r="H18" s="18">
        <v>1</v>
      </c>
      <c r="I18" s="20">
        <v>3845</v>
      </c>
      <c r="J18" s="18">
        <v>5</v>
      </c>
      <c r="K18" s="20">
        <v>22788</v>
      </c>
      <c r="L18" s="18"/>
      <c r="M18" s="18"/>
      <c r="N18" s="20">
        <v>3357</v>
      </c>
      <c r="O18" s="20">
        <v>42701</v>
      </c>
      <c r="P18" s="15">
        <f t="shared" si="0"/>
        <v>39344</v>
      </c>
    </row>
    <row r="19" spans="1:16" s="28" customFormat="1" ht="15.75" thickBot="1" x14ac:dyDescent="0.3">
      <c r="A19" s="12" t="s">
        <v>1235</v>
      </c>
      <c r="B19" s="13">
        <v>810</v>
      </c>
      <c r="C19" s="13" t="s">
        <v>1422</v>
      </c>
      <c r="D19" s="13"/>
      <c r="E19" s="14" t="s">
        <v>1148</v>
      </c>
      <c r="F19" s="13">
        <v>2</v>
      </c>
      <c r="G19" s="16">
        <v>4491</v>
      </c>
      <c r="H19" s="13"/>
      <c r="I19" s="13"/>
      <c r="J19" s="13">
        <v>6</v>
      </c>
      <c r="K19" s="16">
        <v>28748</v>
      </c>
      <c r="L19" s="13"/>
      <c r="M19" s="13"/>
      <c r="N19" s="16">
        <v>3357</v>
      </c>
      <c r="O19" s="16">
        <v>36596</v>
      </c>
      <c r="P19" s="15">
        <f t="shared" si="0"/>
        <v>33239</v>
      </c>
    </row>
    <row r="20" spans="1:16" s="28" customFormat="1" ht="15.75" thickBot="1" x14ac:dyDescent="0.3">
      <c r="A20" s="17" t="s">
        <v>1236</v>
      </c>
      <c r="B20" s="18">
        <v>812</v>
      </c>
      <c r="C20" s="18" t="s">
        <v>1422</v>
      </c>
      <c r="D20" s="18"/>
      <c r="E20" s="19" t="s">
        <v>1148</v>
      </c>
      <c r="F20" s="18">
        <v>4</v>
      </c>
      <c r="G20" s="20">
        <v>12711</v>
      </c>
      <c r="H20" s="18">
        <v>0</v>
      </c>
      <c r="I20" s="20">
        <v>1281</v>
      </c>
      <c r="J20" s="18">
        <v>7</v>
      </c>
      <c r="K20" s="20">
        <v>35682</v>
      </c>
      <c r="L20" s="18"/>
      <c r="M20" s="18"/>
      <c r="N20" s="20">
        <v>3357</v>
      </c>
      <c r="O20" s="20">
        <v>53031</v>
      </c>
      <c r="P20" s="15">
        <f t="shared" si="0"/>
        <v>49674</v>
      </c>
    </row>
    <row r="21" spans="1:16" s="28" customFormat="1" ht="15.75" thickBot="1" x14ac:dyDescent="0.3">
      <c r="A21" s="12" t="s">
        <v>1237</v>
      </c>
      <c r="B21" s="13">
        <v>814</v>
      </c>
      <c r="C21" s="13" t="s">
        <v>1422</v>
      </c>
      <c r="D21" s="13"/>
      <c r="E21" s="14" t="s">
        <v>1148</v>
      </c>
      <c r="F21" s="13">
        <v>7</v>
      </c>
      <c r="G21" s="16">
        <v>26894</v>
      </c>
      <c r="H21" s="13">
        <v>2</v>
      </c>
      <c r="I21" s="16">
        <v>7690</v>
      </c>
      <c r="J21" s="13">
        <v>3</v>
      </c>
      <c r="K21" s="16">
        <v>10907</v>
      </c>
      <c r="L21" s="13"/>
      <c r="M21" s="13"/>
      <c r="N21" s="16">
        <v>3357</v>
      </c>
      <c r="O21" s="16">
        <v>48848</v>
      </c>
      <c r="P21" s="15">
        <f t="shared" si="0"/>
        <v>45491</v>
      </c>
    </row>
    <row r="22" spans="1:16" s="28" customFormat="1" ht="15.75" thickBot="1" x14ac:dyDescent="0.3">
      <c r="A22" s="17" t="s">
        <v>1198</v>
      </c>
      <c r="B22" s="18">
        <v>820</v>
      </c>
      <c r="C22" s="18" t="s">
        <v>1421</v>
      </c>
      <c r="D22" s="18"/>
      <c r="E22" s="19" t="s">
        <v>1148</v>
      </c>
      <c r="F22" s="18">
        <v>2</v>
      </c>
      <c r="G22" s="20">
        <v>4491</v>
      </c>
      <c r="H22" s="18">
        <v>0</v>
      </c>
      <c r="I22" s="20">
        <v>1281</v>
      </c>
      <c r="J22" s="18">
        <v>4</v>
      </c>
      <c r="K22" s="20">
        <v>16866</v>
      </c>
      <c r="L22" s="18"/>
      <c r="M22" s="18"/>
      <c r="N22" s="20">
        <v>3357</v>
      </c>
      <c r="O22" s="20">
        <v>25995</v>
      </c>
      <c r="P22" s="15">
        <f t="shared" si="0"/>
        <v>22638</v>
      </c>
    </row>
    <row r="23" spans="1:16" s="28" customFormat="1" ht="15.75" thickBot="1" x14ac:dyDescent="0.3">
      <c r="A23" s="12" t="s">
        <v>1199</v>
      </c>
      <c r="B23" s="13">
        <v>822</v>
      </c>
      <c r="C23" s="13" t="s">
        <v>1421</v>
      </c>
      <c r="D23" s="13"/>
      <c r="E23" s="14" t="s">
        <v>1148</v>
      </c>
      <c r="F23" s="13">
        <v>4</v>
      </c>
      <c r="G23" s="16">
        <v>12711</v>
      </c>
      <c r="H23" s="13">
        <v>0</v>
      </c>
      <c r="I23" s="16">
        <v>1281</v>
      </c>
      <c r="J23" s="13">
        <v>4</v>
      </c>
      <c r="K23" s="16">
        <v>16866</v>
      </c>
      <c r="L23" s="13"/>
      <c r="M23" s="13"/>
      <c r="N23" s="16">
        <v>3357</v>
      </c>
      <c r="O23" s="16">
        <v>34215</v>
      </c>
      <c r="P23" s="15">
        <f t="shared" si="0"/>
        <v>30858</v>
      </c>
    </row>
    <row r="24" spans="1:16" s="28" customFormat="1" ht="15.75" thickBot="1" x14ac:dyDescent="0.3">
      <c r="A24" s="17" t="s">
        <v>1200</v>
      </c>
      <c r="B24" s="18">
        <v>824</v>
      </c>
      <c r="C24" s="18" t="s">
        <v>1421</v>
      </c>
      <c r="D24" s="18"/>
      <c r="E24" s="19" t="s">
        <v>1148</v>
      </c>
      <c r="F24" s="18">
        <v>4</v>
      </c>
      <c r="G24" s="20">
        <v>12711</v>
      </c>
      <c r="H24" s="18">
        <v>0</v>
      </c>
      <c r="I24" s="20">
        <v>1281</v>
      </c>
      <c r="J24" s="18">
        <v>3</v>
      </c>
      <c r="K24" s="20">
        <v>10907</v>
      </c>
      <c r="L24" s="18"/>
      <c r="M24" s="18"/>
      <c r="N24" s="20">
        <v>3357</v>
      </c>
      <c r="O24" s="20">
        <v>28256</v>
      </c>
      <c r="P24" s="15">
        <f t="shared" si="0"/>
        <v>24899</v>
      </c>
    </row>
    <row r="25" spans="1:16" s="28" customFormat="1" ht="15" thickBot="1" x14ac:dyDescent="0.35">
      <c r="A25" s="12" t="s">
        <v>1201</v>
      </c>
      <c r="B25" s="13">
        <v>826</v>
      </c>
      <c r="C25" s="13" t="s">
        <v>1421</v>
      </c>
      <c r="D25" s="13"/>
      <c r="E25" s="14" t="s">
        <v>1148</v>
      </c>
      <c r="F25" s="13">
        <v>4</v>
      </c>
      <c r="G25" s="16">
        <v>12711</v>
      </c>
      <c r="H25" s="13">
        <v>0</v>
      </c>
      <c r="I25" s="16">
        <v>1281</v>
      </c>
      <c r="J25" s="13">
        <v>4</v>
      </c>
      <c r="K25" s="16">
        <v>16866</v>
      </c>
      <c r="L25" s="13"/>
      <c r="M25" s="13"/>
      <c r="N25" s="16">
        <v>3357</v>
      </c>
      <c r="O25" s="16">
        <v>34215</v>
      </c>
      <c r="P25" s="15">
        <f t="shared" si="0"/>
        <v>30858</v>
      </c>
    </row>
    <row r="26" spans="1:16" s="28" customFormat="1" ht="15" thickBot="1" x14ac:dyDescent="0.35">
      <c r="A26" s="17" t="s">
        <v>1202</v>
      </c>
      <c r="B26" s="18">
        <v>828</v>
      </c>
      <c r="C26" s="18" t="s">
        <v>1421</v>
      </c>
      <c r="D26" s="18"/>
      <c r="E26" s="19" t="s">
        <v>1148</v>
      </c>
      <c r="F26" s="18">
        <v>5</v>
      </c>
      <c r="G26" s="20">
        <v>17176</v>
      </c>
      <c r="H26" s="18">
        <v>1</v>
      </c>
      <c r="I26" s="20">
        <v>3845</v>
      </c>
      <c r="J26" s="18">
        <v>4</v>
      </c>
      <c r="K26" s="20">
        <v>16866</v>
      </c>
      <c r="L26" s="18"/>
      <c r="M26" s="18"/>
      <c r="N26" s="20">
        <v>3357</v>
      </c>
      <c r="O26" s="20">
        <v>41244</v>
      </c>
      <c r="P26" s="15">
        <f t="shared" si="0"/>
        <v>37887</v>
      </c>
    </row>
    <row r="27" spans="1:16" s="28" customFormat="1" ht="15" thickBot="1" x14ac:dyDescent="0.35">
      <c r="A27" s="12" t="s">
        <v>1203</v>
      </c>
      <c r="B27" s="13">
        <v>830</v>
      </c>
      <c r="C27" s="13" t="s">
        <v>1421</v>
      </c>
      <c r="D27" s="13"/>
      <c r="E27" s="14" t="s">
        <v>1148</v>
      </c>
      <c r="F27" s="13">
        <v>6</v>
      </c>
      <c r="G27" s="16">
        <v>21667</v>
      </c>
      <c r="H27" s="13">
        <v>2</v>
      </c>
      <c r="I27" s="16">
        <v>7690</v>
      </c>
      <c r="J27" s="13">
        <v>4</v>
      </c>
      <c r="K27" s="16">
        <v>16866</v>
      </c>
      <c r="L27" s="13"/>
      <c r="M27" s="13"/>
      <c r="N27" s="16">
        <v>3357</v>
      </c>
      <c r="O27" s="16">
        <v>49580</v>
      </c>
      <c r="P27" s="15">
        <f t="shared" si="0"/>
        <v>46223</v>
      </c>
    </row>
    <row r="28" spans="1:16" s="28" customFormat="1" ht="15" thickBot="1" x14ac:dyDescent="0.35">
      <c r="A28" s="17" t="s">
        <v>1204</v>
      </c>
      <c r="B28" s="18">
        <v>832</v>
      </c>
      <c r="C28" s="18" t="s">
        <v>1421</v>
      </c>
      <c r="D28" s="18"/>
      <c r="E28" s="19" t="s">
        <v>1148</v>
      </c>
      <c r="F28" s="18">
        <v>6</v>
      </c>
      <c r="G28" s="20">
        <v>21667</v>
      </c>
      <c r="H28" s="18">
        <v>2</v>
      </c>
      <c r="I28" s="20">
        <v>7690</v>
      </c>
      <c r="J28" s="18">
        <v>5</v>
      </c>
      <c r="K28" s="20">
        <v>22788</v>
      </c>
      <c r="L28" s="18"/>
      <c r="M28" s="18"/>
      <c r="N28" s="20">
        <v>3357</v>
      </c>
      <c r="O28" s="20">
        <v>55502</v>
      </c>
      <c r="P28" s="15">
        <f t="shared" si="0"/>
        <v>52145</v>
      </c>
    </row>
    <row r="29" spans="1:16" s="28" customFormat="1" ht="15" thickBot="1" x14ac:dyDescent="0.35">
      <c r="A29" s="12" t="s">
        <v>1209</v>
      </c>
      <c r="B29" s="13">
        <v>840</v>
      </c>
      <c r="C29" s="13" t="s">
        <v>1425</v>
      </c>
      <c r="D29" s="13"/>
      <c r="E29" s="14" t="s">
        <v>1148</v>
      </c>
      <c r="F29" s="13">
        <v>2</v>
      </c>
      <c r="G29" s="16">
        <v>4491</v>
      </c>
      <c r="H29" s="13"/>
      <c r="I29" s="13"/>
      <c r="J29" s="13">
        <v>3</v>
      </c>
      <c r="K29" s="16">
        <v>10907</v>
      </c>
      <c r="L29" s="13"/>
      <c r="M29" s="13"/>
      <c r="N29" s="16">
        <v>3357</v>
      </c>
      <c r="O29" s="16">
        <v>18755</v>
      </c>
      <c r="P29" s="15">
        <f t="shared" si="0"/>
        <v>15398</v>
      </c>
    </row>
    <row r="30" spans="1:16" s="28" customFormat="1" ht="15" thickBot="1" x14ac:dyDescent="0.35">
      <c r="A30" s="17" t="s">
        <v>1210</v>
      </c>
      <c r="B30" s="18">
        <v>842</v>
      </c>
      <c r="C30" s="18" t="s">
        <v>1425</v>
      </c>
      <c r="D30" s="18"/>
      <c r="E30" s="19" t="s">
        <v>1148</v>
      </c>
      <c r="F30" s="18">
        <v>2</v>
      </c>
      <c r="G30" s="20">
        <v>4491</v>
      </c>
      <c r="H30" s="18"/>
      <c r="I30" s="18"/>
      <c r="J30" s="18">
        <v>5</v>
      </c>
      <c r="K30" s="20">
        <v>22788</v>
      </c>
      <c r="L30" s="18"/>
      <c r="M30" s="18"/>
      <c r="N30" s="20">
        <v>3357</v>
      </c>
      <c r="O30" s="20">
        <v>30636</v>
      </c>
      <c r="P30" s="15">
        <f t="shared" si="0"/>
        <v>27279</v>
      </c>
    </row>
    <row r="31" spans="1:16" s="28" customFormat="1" ht="15" thickBot="1" x14ac:dyDescent="0.35">
      <c r="A31" s="12" t="s">
        <v>1211</v>
      </c>
      <c r="B31" s="13">
        <v>844</v>
      </c>
      <c r="C31" s="13" t="s">
        <v>1425</v>
      </c>
      <c r="D31" s="13"/>
      <c r="E31" s="14" t="s">
        <v>1148</v>
      </c>
      <c r="F31" s="13">
        <v>3</v>
      </c>
      <c r="G31" s="16">
        <v>8220</v>
      </c>
      <c r="H31" s="13">
        <v>1</v>
      </c>
      <c r="I31" s="16">
        <v>3845</v>
      </c>
      <c r="J31" s="13">
        <v>5</v>
      </c>
      <c r="K31" s="16">
        <v>22788</v>
      </c>
      <c r="L31" s="13"/>
      <c r="M31" s="13"/>
      <c r="N31" s="16">
        <v>3357</v>
      </c>
      <c r="O31" s="16">
        <v>38210</v>
      </c>
      <c r="P31" s="15">
        <f t="shared" si="0"/>
        <v>34853</v>
      </c>
    </row>
    <row r="32" spans="1:16" s="28" customFormat="1" ht="15" thickBot="1" x14ac:dyDescent="0.35">
      <c r="A32" s="17" t="s">
        <v>1212</v>
      </c>
      <c r="B32" s="18">
        <v>846</v>
      </c>
      <c r="C32" s="18" t="s">
        <v>1425</v>
      </c>
      <c r="D32" s="18"/>
      <c r="E32" s="19" t="s">
        <v>1148</v>
      </c>
      <c r="F32" s="18">
        <v>6</v>
      </c>
      <c r="G32" s="20">
        <v>21667</v>
      </c>
      <c r="H32" s="18">
        <v>1</v>
      </c>
      <c r="I32" s="20">
        <v>3845</v>
      </c>
      <c r="J32" s="18">
        <v>5</v>
      </c>
      <c r="K32" s="20">
        <v>22788</v>
      </c>
      <c r="L32" s="18"/>
      <c r="M32" s="18"/>
      <c r="N32" s="20">
        <v>3357</v>
      </c>
      <c r="O32" s="20">
        <v>51657</v>
      </c>
      <c r="P32" s="15">
        <f t="shared" si="0"/>
        <v>48300</v>
      </c>
    </row>
    <row r="33" spans="1:16" s="28" customFormat="1" ht="15" thickBot="1" x14ac:dyDescent="0.35">
      <c r="A33" s="12" t="s">
        <v>1213</v>
      </c>
      <c r="B33" s="13">
        <v>848</v>
      </c>
      <c r="C33" s="13" t="s">
        <v>1425</v>
      </c>
      <c r="D33" s="13"/>
      <c r="E33" s="14" t="s">
        <v>1148</v>
      </c>
      <c r="F33" s="13">
        <v>6</v>
      </c>
      <c r="G33" s="16">
        <v>21667</v>
      </c>
      <c r="H33" s="13">
        <v>1</v>
      </c>
      <c r="I33" s="16">
        <v>3845</v>
      </c>
      <c r="J33" s="13">
        <v>6</v>
      </c>
      <c r="K33" s="16">
        <v>28748</v>
      </c>
      <c r="L33" s="13"/>
      <c r="M33" s="13"/>
      <c r="N33" s="16">
        <v>3357</v>
      </c>
      <c r="O33" s="16">
        <v>57617</v>
      </c>
      <c r="P33" s="15">
        <f t="shared" si="0"/>
        <v>54260</v>
      </c>
    </row>
    <row r="34" spans="1:16" s="28" customFormat="1" ht="15" thickBot="1" x14ac:dyDescent="0.35">
      <c r="A34" s="17" t="s">
        <v>1205</v>
      </c>
      <c r="B34" s="18">
        <v>850</v>
      </c>
      <c r="C34" s="18" t="s">
        <v>1425</v>
      </c>
      <c r="D34" s="18"/>
      <c r="E34" s="19" t="s">
        <v>1148</v>
      </c>
      <c r="F34" s="18">
        <v>1</v>
      </c>
      <c r="G34" s="20">
        <v>1497</v>
      </c>
      <c r="H34" s="18"/>
      <c r="I34" s="18"/>
      <c r="J34" s="18">
        <v>5</v>
      </c>
      <c r="K34" s="20">
        <v>22788</v>
      </c>
      <c r="L34" s="18"/>
      <c r="M34" s="18"/>
      <c r="N34" s="20">
        <v>3357</v>
      </c>
      <c r="O34" s="20">
        <v>27642</v>
      </c>
      <c r="P34" s="15">
        <f t="shared" si="0"/>
        <v>24285</v>
      </c>
    </row>
    <row r="35" spans="1:16" s="28" customFormat="1" ht="15" thickBot="1" x14ac:dyDescent="0.35">
      <c r="A35" s="12" t="s">
        <v>1206</v>
      </c>
      <c r="B35" s="13">
        <v>852</v>
      </c>
      <c r="C35" s="13" t="s">
        <v>1425</v>
      </c>
      <c r="D35" s="13"/>
      <c r="E35" s="14" t="s">
        <v>1148</v>
      </c>
      <c r="F35" s="13">
        <v>5</v>
      </c>
      <c r="G35" s="16">
        <v>17176</v>
      </c>
      <c r="H35" s="13">
        <v>2</v>
      </c>
      <c r="I35" s="16">
        <v>7690</v>
      </c>
      <c r="J35" s="13">
        <v>7</v>
      </c>
      <c r="K35" s="16">
        <v>35682</v>
      </c>
      <c r="L35" s="13"/>
      <c r="M35" s="13"/>
      <c r="N35" s="16">
        <v>3357</v>
      </c>
      <c r="O35" s="16">
        <v>63905</v>
      </c>
      <c r="P35" s="15">
        <f t="shared" si="0"/>
        <v>60548</v>
      </c>
    </row>
    <row r="36" spans="1:16" s="28" customFormat="1" ht="15" thickBot="1" x14ac:dyDescent="0.35">
      <c r="A36" s="17" t="s">
        <v>1207</v>
      </c>
      <c r="B36" s="18">
        <v>854</v>
      </c>
      <c r="C36" s="18" t="s">
        <v>1425</v>
      </c>
      <c r="D36" s="18"/>
      <c r="E36" s="19" t="s">
        <v>1148</v>
      </c>
      <c r="F36" s="18">
        <v>7</v>
      </c>
      <c r="G36" s="20">
        <v>26894</v>
      </c>
      <c r="H36" s="18">
        <v>3</v>
      </c>
      <c r="I36" s="20">
        <v>14099</v>
      </c>
      <c r="J36" s="18">
        <v>7</v>
      </c>
      <c r="K36" s="20">
        <v>35682</v>
      </c>
      <c r="L36" s="18"/>
      <c r="M36" s="18"/>
      <c r="N36" s="20">
        <v>3357</v>
      </c>
      <c r="O36" s="20">
        <v>80032</v>
      </c>
      <c r="P36" s="15">
        <f t="shared" si="0"/>
        <v>76675</v>
      </c>
    </row>
    <row r="37" spans="1:16" s="28" customFormat="1" ht="15" thickBot="1" x14ac:dyDescent="0.35">
      <c r="A37" s="12" t="s">
        <v>1208</v>
      </c>
      <c r="B37" s="13">
        <v>856</v>
      </c>
      <c r="C37" s="13" t="s">
        <v>1425</v>
      </c>
      <c r="D37" s="13"/>
      <c r="E37" s="14" t="s">
        <v>1148</v>
      </c>
      <c r="F37" s="13">
        <v>3</v>
      </c>
      <c r="G37" s="16">
        <v>8220</v>
      </c>
      <c r="H37" s="13"/>
      <c r="I37" s="13"/>
      <c r="J37" s="13">
        <v>7</v>
      </c>
      <c r="K37" s="16">
        <v>35682</v>
      </c>
      <c r="L37" s="13"/>
      <c r="M37" s="13"/>
      <c r="N37" s="16">
        <v>3357</v>
      </c>
      <c r="O37" s="16">
        <v>47259</v>
      </c>
      <c r="P37" s="15">
        <f t="shared" si="0"/>
        <v>43902</v>
      </c>
    </row>
    <row r="38" spans="1:16" s="28" customFormat="1" ht="15" thickBot="1" x14ac:dyDescent="0.35">
      <c r="A38" s="12" t="s">
        <v>1214</v>
      </c>
      <c r="B38" s="13">
        <v>750</v>
      </c>
      <c r="C38" s="13" t="s">
        <v>1424</v>
      </c>
      <c r="D38" s="13" t="s">
        <v>1427</v>
      </c>
      <c r="E38" s="14" t="s">
        <v>1244</v>
      </c>
      <c r="F38" s="13">
        <v>1</v>
      </c>
      <c r="G38" s="16">
        <v>1497</v>
      </c>
      <c r="H38" s="13">
        <v>1</v>
      </c>
      <c r="I38" s="16">
        <v>3845</v>
      </c>
      <c r="J38" s="13">
        <v>2</v>
      </c>
      <c r="K38" s="16">
        <v>5959</v>
      </c>
      <c r="L38" s="13"/>
      <c r="M38" s="13"/>
      <c r="N38" s="16">
        <v>3357</v>
      </c>
      <c r="O38" s="16">
        <v>14658</v>
      </c>
      <c r="P38" s="15">
        <f t="shared" si="0"/>
        <v>11301</v>
      </c>
    </row>
    <row r="39" spans="1:16" s="28" customFormat="1" ht="15" thickBot="1" x14ac:dyDescent="0.35">
      <c r="A39" s="12" t="s">
        <v>1215</v>
      </c>
      <c r="B39" s="13">
        <v>751</v>
      </c>
      <c r="C39" s="13" t="s">
        <v>1424</v>
      </c>
      <c r="D39" s="13" t="s">
        <v>1427</v>
      </c>
      <c r="E39" s="14" t="s">
        <v>1244</v>
      </c>
      <c r="F39" s="13">
        <v>3</v>
      </c>
      <c r="G39" s="16">
        <v>8220</v>
      </c>
      <c r="H39" s="13">
        <v>2</v>
      </c>
      <c r="I39" s="16">
        <v>7690</v>
      </c>
      <c r="J39" s="13">
        <v>1</v>
      </c>
      <c r="K39" s="16">
        <v>1987</v>
      </c>
      <c r="L39" s="13"/>
      <c r="M39" s="13"/>
      <c r="N39" s="16">
        <v>3357</v>
      </c>
      <c r="O39" s="16">
        <v>21254</v>
      </c>
      <c r="P39" s="15">
        <f t="shared" si="0"/>
        <v>17897</v>
      </c>
    </row>
    <row r="40" spans="1:16" s="28" customFormat="1" ht="15" thickBot="1" x14ac:dyDescent="0.35">
      <c r="A40" s="12" t="s">
        <v>1216</v>
      </c>
      <c r="B40" s="13">
        <v>752</v>
      </c>
      <c r="C40" s="13" t="s">
        <v>1427</v>
      </c>
      <c r="D40" s="13"/>
      <c r="E40" s="14" t="s">
        <v>1244</v>
      </c>
      <c r="F40" s="13">
        <v>4</v>
      </c>
      <c r="G40" s="16">
        <v>12711</v>
      </c>
      <c r="H40" s="13">
        <v>1</v>
      </c>
      <c r="I40" s="16">
        <v>3845</v>
      </c>
      <c r="J40" s="13">
        <v>2</v>
      </c>
      <c r="K40" s="16">
        <v>5959</v>
      </c>
      <c r="L40" s="13"/>
      <c r="M40" s="13"/>
      <c r="N40" s="16">
        <v>3357</v>
      </c>
      <c r="O40" s="16">
        <v>25872</v>
      </c>
      <c r="P40" s="15">
        <f t="shared" si="0"/>
        <v>22515</v>
      </c>
    </row>
    <row r="41" spans="1:16" s="28" customFormat="1" ht="15" thickBot="1" x14ac:dyDescent="0.35">
      <c r="A41" s="12" t="s">
        <v>1217</v>
      </c>
      <c r="B41" s="13">
        <v>753</v>
      </c>
      <c r="C41" s="13" t="s">
        <v>1424</v>
      </c>
      <c r="D41" s="13" t="s">
        <v>1427</v>
      </c>
      <c r="E41" s="14" t="s">
        <v>1244</v>
      </c>
      <c r="F41" s="13">
        <v>4</v>
      </c>
      <c r="G41" s="16">
        <v>12711</v>
      </c>
      <c r="H41" s="13">
        <v>2</v>
      </c>
      <c r="I41" s="16">
        <v>7690</v>
      </c>
      <c r="J41" s="13">
        <v>3</v>
      </c>
      <c r="K41" s="16">
        <v>10907</v>
      </c>
      <c r="L41" s="13"/>
      <c r="M41" s="13"/>
      <c r="N41" s="16">
        <v>3357</v>
      </c>
      <c r="O41" s="16">
        <v>34665</v>
      </c>
      <c r="P41" s="15">
        <f t="shared" si="0"/>
        <v>31308</v>
      </c>
    </row>
    <row r="42" spans="1:16" s="28" customFormat="1" ht="15" thickBot="1" x14ac:dyDescent="0.35">
      <c r="A42" s="12" t="s">
        <v>1218</v>
      </c>
      <c r="B42" s="13">
        <v>754</v>
      </c>
      <c r="C42" s="13" t="s">
        <v>1424</v>
      </c>
      <c r="D42" s="13"/>
      <c r="E42" s="14" t="s">
        <v>1244</v>
      </c>
      <c r="F42" s="13">
        <v>4</v>
      </c>
      <c r="G42" s="16">
        <v>12711</v>
      </c>
      <c r="H42" s="13">
        <v>3</v>
      </c>
      <c r="I42" s="16">
        <v>14099</v>
      </c>
      <c r="J42" s="13">
        <v>4</v>
      </c>
      <c r="K42" s="16">
        <v>16866</v>
      </c>
      <c r="L42" s="13"/>
      <c r="M42" s="13"/>
      <c r="N42" s="16">
        <v>3357</v>
      </c>
      <c r="O42" s="16">
        <v>47033</v>
      </c>
      <c r="P42" s="15">
        <f t="shared" si="0"/>
        <v>43676</v>
      </c>
    </row>
    <row r="43" spans="1:16" s="28" customFormat="1" ht="15" thickBot="1" x14ac:dyDescent="0.35">
      <c r="A43" s="12" t="s">
        <v>1219</v>
      </c>
      <c r="B43" s="13">
        <v>755</v>
      </c>
      <c r="C43" s="13" t="s">
        <v>1427</v>
      </c>
      <c r="D43" s="13"/>
      <c r="E43" s="14" t="s">
        <v>1244</v>
      </c>
      <c r="F43" s="13">
        <v>4</v>
      </c>
      <c r="G43" s="16">
        <v>12711</v>
      </c>
      <c r="H43" s="13">
        <v>3</v>
      </c>
      <c r="I43" s="16">
        <v>14099</v>
      </c>
      <c r="J43" s="13">
        <v>4</v>
      </c>
      <c r="K43" s="16">
        <v>16866</v>
      </c>
      <c r="L43" s="13"/>
      <c r="M43" s="13"/>
      <c r="N43" s="16">
        <v>3357</v>
      </c>
      <c r="O43" s="16">
        <v>47033</v>
      </c>
      <c r="P43" s="15">
        <f t="shared" si="0"/>
        <v>43676</v>
      </c>
    </row>
    <row r="44" spans="1:16" s="28" customFormat="1" ht="15" thickBot="1" x14ac:dyDescent="0.35">
      <c r="A44" s="12" t="s">
        <v>1220</v>
      </c>
      <c r="B44" s="13">
        <v>756</v>
      </c>
      <c r="C44" s="13" t="s">
        <v>1424</v>
      </c>
      <c r="D44" s="13" t="s">
        <v>1427</v>
      </c>
      <c r="E44" s="14" t="s">
        <v>1244</v>
      </c>
      <c r="F44" s="13">
        <v>4</v>
      </c>
      <c r="G44" s="16">
        <v>12711</v>
      </c>
      <c r="H44" s="13">
        <v>3</v>
      </c>
      <c r="I44" s="16">
        <v>14099</v>
      </c>
      <c r="J44" s="13">
        <v>6</v>
      </c>
      <c r="K44" s="16">
        <v>28748</v>
      </c>
      <c r="L44" s="13"/>
      <c r="M44" s="13"/>
      <c r="N44" s="16">
        <v>3357</v>
      </c>
      <c r="O44" s="16">
        <v>58915</v>
      </c>
      <c r="P44" s="15">
        <f t="shared" si="0"/>
        <v>55558</v>
      </c>
    </row>
    <row r="45" spans="1:16" s="28" customFormat="1" ht="15" thickBot="1" x14ac:dyDescent="0.35">
      <c r="A45" s="12" t="s">
        <v>1221</v>
      </c>
      <c r="B45" s="13">
        <v>757</v>
      </c>
      <c r="C45" s="13" t="s">
        <v>1427</v>
      </c>
      <c r="D45" s="13"/>
      <c r="E45" s="14" t="s">
        <v>1244</v>
      </c>
      <c r="F45" s="13">
        <v>5</v>
      </c>
      <c r="G45" s="16">
        <v>17176</v>
      </c>
      <c r="H45" s="13">
        <v>3</v>
      </c>
      <c r="I45" s="16">
        <v>14099</v>
      </c>
      <c r="J45" s="13">
        <v>7</v>
      </c>
      <c r="K45" s="16">
        <v>35682</v>
      </c>
      <c r="L45" s="13"/>
      <c r="M45" s="13"/>
      <c r="N45" s="16">
        <v>3357</v>
      </c>
      <c r="O45" s="16">
        <v>70314</v>
      </c>
      <c r="P45" s="15">
        <f t="shared" si="0"/>
        <v>66957</v>
      </c>
    </row>
    <row r="46" spans="1:16" s="28" customFormat="1" ht="15" thickBot="1" x14ac:dyDescent="0.35">
      <c r="A46" s="12" t="s">
        <v>1262</v>
      </c>
      <c r="B46" s="13">
        <v>191</v>
      </c>
      <c r="C46" s="13" t="s">
        <v>1424</v>
      </c>
      <c r="D46" s="13" t="s">
        <v>1427</v>
      </c>
      <c r="E46" s="14" t="s">
        <v>1244</v>
      </c>
      <c r="F46" s="13">
        <v>5</v>
      </c>
      <c r="G46" s="16">
        <v>17176</v>
      </c>
      <c r="H46" s="13">
        <v>2</v>
      </c>
      <c r="I46" s="16">
        <v>7690</v>
      </c>
      <c r="J46" s="13">
        <v>4</v>
      </c>
      <c r="K46" s="16">
        <v>16866</v>
      </c>
      <c r="L46" s="13"/>
      <c r="M46" s="13"/>
      <c r="N46" s="16">
        <v>3357</v>
      </c>
      <c r="O46" s="16">
        <v>45089</v>
      </c>
      <c r="P46" s="15">
        <f t="shared" si="0"/>
        <v>41732</v>
      </c>
    </row>
    <row r="47" spans="1:16" s="28" customFormat="1" ht="15" thickBot="1" x14ac:dyDescent="0.35">
      <c r="A47" s="12" t="s">
        <v>1223</v>
      </c>
      <c r="B47" s="13">
        <v>759</v>
      </c>
      <c r="C47" s="13" t="s">
        <v>1424</v>
      </c>
      <c r="D47" s="13" t="s">
        <v>1427</v>
      </c>
      <c r="E47" s="14" t="s">
        <v>1244</v>
      </c>
      <c r="F47" s="13">
        <v>7</v>
      </c>
      <c r="G47" s="16">
        <v>26894</v>
      </c>
      <c r="H47" s="13">
        <v>5</v>
      </c>
      <c r="I47" s="16">
        <v>29480</v>
      </c>
      <c r="J47" s="13">
        <v>4</v>
      </c>
      <c r="K47" s="16">
        <v>16866</v>
      </c>
      <c r="L47" s="13"/>
      <c r="M47" s="13"/>
      <c r="N47" s="16">
        <v>3357</v>
      </c>
      <c r="O47" s="16">
        <v>76597</v>
      </c>
      <c r="P47" s="15">
        <f t="shared" si="0"/>
        <v>73240</v>
      </c>
    </row>
    <row r="48" spans="1:16" s="28" customFormat="1" x14ac:dyDescent="0.3">
      <c r="C48" s="27"/>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'PGB (2)'!$A$3:$A$50</xm:f>
          </x14:formula1>
          <xm:sqref>I18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dimension ref="A1:A10"/>
  <sheetViews>
    <sheetView workbookViewId="0">
      <selection sqref="A1:A10"/>
    </sheetView>
  </sheetViews>
  <sheetFormatPr defaultRowHeight="14.4" x14ac:dyDescent="0.3"/>
  <cols>
    <col min="1" max="1" width="43.6640625" bestFit="1" customWidth="1"/>
  </cols>
  <sheetData>
    <row r="1" spans="1:1" x14ac:dyDescent="0.25">
      <c r="A1" s="28" t="s">
        <v>1433</v>
      </c>
    </row>
    <row r="2" spans="1:1" x14ac:dyDescent="0.25">
      <c r="A2" s="28" t="s">
        <v>1434</v>
      </c>
    </row>
    <row r="3" spans="1:1" x14ac:dyDescent="0.25">
      <c r="A3" s="28" t="s">
        <v>1435</v>
      </c>
    </row>
    <row r="4" spans="1:1" x14ac:dyDescent="0.25">
      <c r="A4" s="28" t="s">
        <v>1436</v>
      </c>
    </row>
    <row r="5" spans="1:1" x14ac:dyDescent="0.25">
      <c r="A5" s="28" t="s">
        <v>1437</v>
      </c>
    </row>
    <row r="6" spans="1:1" x14ac:dyDescent="0.25">
      <c r="A6" s="28" t="s">
        <v>1438</v>
      </c>
    </row>
    <row r="7" spans="1:1" x14ac:dyDescent="0.25">
      <c r="A7" s="28" t="s">
        <v>1439</v>
      </c>
    </row>
    <row r="8" spans="1:1" x14ac:dyDescent="0.25">
      <c r="A8" s="28" t="s">
        <v>1440</v>
      </c>
    </row>
    <row r="9" spans="1:1" x14ac:dyDescent="0.25">
      <c r="A9" s="28" t="s">
        <v>1441</v>
      </c>
    </row>
    <row r="10" spans="1:1" x14ac:dyDescent="0.25">
      <c r="A10" s="28" t="s">
        <v>1442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dimension ref="A1:P109"/>
  <sheetViews>
    <sheetView topLeftCell="E1" workbookViewId="0">
      <selection activeCell="P10" sqref="P10"/>
    </sheetView>
  </sheetViews>
  <sheetFormatPr defaultColWidth="9.33203125" defaultRowHeight="14.4" x14ac:dyDescent="0.3"/>
  <cols>
    <col min="1" max="1" width="8.5546875" style="28" bestFit="1" customWidth="1"/>
    <col min="2" max="2" width="11.6640625" style="28" bestFit="1" customWidth="1"/>
    <col min="3" max="3" width="13.44140625" style="28" bestFit="1" customWidth="1"/>
    <col min="4" max="4" width="31.6640625" style="28" bestFit="1" customWidth="1"/>
    <col min="5" max="5" width="26.6640625" style="28" bestFit="1" customWidth="1"/>
    <col min="6" max="6" width="48.33203125" style="28" bestFit="1" customWidth="1"/>
    <col min="7" max="7" width="8.44140625" style="28" bestFit="1" customWidth="1"/>
    <col min="8" max="8" width="15.33203125" style="28" bestFit="1" customWidth="1"/>
    <col min="9" max="9" width="8.6640625" style="28" bestFit="1" customWidth="1"/>
    <col min="10" max="10" width="10" style="28" bestFit="1" customWidth="1"/>
    <col min="11" max="16384" width="9.33203125" style="28"/>
  </cols>
  <sheetData>
    <row r="1" spans="1:16" ht="15" x14ac:dyDescent="0.25">
      <c r="A1" s="28" t="s">
        <v>2</v>
      </c>
      <c r="B1" s="28" t="s">
        <v>1</v>
      </c>
      <c r="C1" s="28" t="s">
        <v>4</v>
      </c>
      <c r="D1" s="28" t="s">
        <v>0</v>
      </c>
      <c r="E1" s="28" t="s">
        <v>0</v>
      </c>
      <c r="F1" s="28" t="s">
        <v>699</v>
      </c>
      <c r="G1" s="28" t="s">
        <v>1147</v>
      </c>
      <c r="H1" s="28" t="s">
        <v>3</v>
      </c>
      <c r="I1" s="28" t="s">
        <v>577</v>
      </c>
      <c r="J1" s="28" t="s">
        <v>578</v>
      </c>
      <c r="L1" s="32" t="s">
        <v>1161</v>
      </c>
      <c r="M1" s="32" t="s">
        <v>1569</v>
      </c>
      <c r="N1" s="32" t="s">
        <v>1567</v>
      </c>
      <c r="O1" s="32" t="s">
        <v>1568</v>
      </c>
    </row>
    <row r="2" spans="1:16" ht="15" x14ac:dyDescent="0.25">
      <c r="A2" s="28">
        <v>2015</v>
      </c>
      <c r="B2" s="28" t="s">
        <v>47</v>
      </c>
      <c r="C2" s="28" t="s">
        <v>245</v>
      </c>
      <c r="D2" s="28" t="s">
        <v>244</v>
      </c>
      <c r="E2" s="28" t="s">
        <v>645</v>
      </c>
      <c r="F2" s="28" t="s">
        <v>1151</v>
      </c>
      <c r="G2" s="28" t="s">
        <v>47</v>
      </c>
      <c r="H2" s="28">
        <v>65.28</v>
      </c>
      <c r="J2" s="28">
        <v>23827.200000000001</v>
      </c>
      <c r="L2" s="32" t="s">
        <v>1214</v>
      </c>
      <c r="M2" s="37">
        <f>P2*7</f>
        <v>0</v>
      </c>
      <c r="N2" s="32">
        <v>65.28</v>
      </c>
      <c r="O2" s="32">
        <v>65.28</v>
      </c>
      <c r="P2" s="28">
        <f t="shared" ref="P2:P10" si="0">O2-N2</f>
        <v>0</v>
      </c>
    </row>
    <row r="3" spans="1:16" ht="15" x14ac:dyDescent="0.25">
      <c r="A3" s="28">
        <v>2015</v>
      </c>
      <c r="B3" s="28" t="s">
        <v>47</v>
      </c>
      <c r="C3" s="28" t="s">
        <v>136</v>
      </c>
      <c r="D3" s="28" t="s">
        <v>135</v>
      </c>
      <c r="E3" s="28" t="s">
        <v>646</v>
      </c>
      <c r="F3" s="28" t="s">
        <v>1152</v>
      </c>
      <c r="G3" s="28" t="s">
        <v>47</v>
      </c>
      <c r="H3" s="28">
        <v>82.93</v>
      </c>
      <c r="J3" s="28">
        <v>30269.45</v>
      </c>
      <c r="L3" s="32" t="s">
        <v>1215</v>
      </c>
      <c r="M3" s="37">
        <f t="shared" ref="M3:M34" si="1">P3*7</f>
        <v>0</v>
      </c>
      <c r="N3" s="32">
        <v>82.93</v>
      </c>
      <c r="O3" s="32">
        <v>82.93</v>
      </c>
      <c r="P3" s="28">
        <f t="shared" si="0"/>
        <v>0</v>
      </c>
    </row>
    <row r="4" spans="1:16" ht="15" x14ac:dyDescent="0.25">
      <c r="A4" s="28">
        <v>2015</v>
      </c>
      <c r="B4" s="28" t="s">
        <v>47</v>
      </c>
      <c r="C4" s="28" t="s">
        <v>210</v>
      </c>
      <c r="D4" s="28" t="s">
        <v>209</v>
      </c>
      <c r="E4" s="28" t="s">
        <v>647</v>
      </c>
      <c r="F4" s="28" t="s">
        <v>1153</v>
      </c>
      <c r="G4" s="28" t="s">
        <v>47</v>
      </c>
      <c r="H4" s="28">
        <v>99.99</v>
      </c>
      <c r="J4" s="28">
        <v>36496.35</v>
      </c>
      <c r="L4" s="32" t="s">
        <v>1216</v>
      </c>
      <c r="M4" s="37">
        <f t="shared" si="1"/>
        <v>137.34000000000003</v>
      </c>
      <c r="N4" s="32">
        <v>99.99</v>
      </c>
      <c r="O4" s="32">
        <v>119.61</v>
      </c>
      <c r="P4" s="28">
        <f t="shared" si="0"/>
        <v>19.620000000000005</v>
      </c>
    </row>
    <row r="5" spans="1:16" ht="15" x14ac:dyDescent="0.25">
      <c r="A5" s="28">
        <v>2015</v>
      </c>
      <c r="B5" s="28" t="s">
        <v>47</v>
      </c>
      <c r="C5" s="28" t="s">
        <v>291</v>
      </c>
      <c r="D5" s="28" t="s">
        <v>290</v>
      </c>
      <c r="E5" s="28" t="s">
        <v>648</v>
      </c>
      <c r="F5" s="28" t="s">
        <v>1154</v>
      </c>
      <c r="G5" s="28" t="s">
        <v>47</v>
      </c>
      <c r="H5" s="28">
        <v>119.61</v>
      </c>
      <c r="J5" s="28">
        <v>43657.65</v>
      </c>
      <c r="L5" s="32" t="s">
        <v>1217</v>
      </c>
      <c r="M5" s="37">
        <f t="shared" si="1"/>
        <v>137.41000000000008</v>
      </c>
      <c r="N5" s="32">
        <v>113.98</v>
      </c>
      <c r="O5" s="32">
        <v>133.61000000000001</v>
      </c>
      <c r="P5" s="28">
        <f t="shared" si="0"/>
        <v>19.63000000000001</v>
      </c>
    </row>
    <row r="6" spans="1:16" ht="15" x14ac:dyDescent="0.25">
      <c r="A6" s="28">
        <v>2015</v>
      </c>
      <c r="B6" s="28" t="s">
        <v>47</v>
      </c>
      <c r="C6" s="28" t="s">
        <v>54</v>
      </c>
      <c r="D6" s="28" t="s">
        <v>53</v>
      </c>
      <c r="E6" s="28" t="s">
        <v>649</v>
      </c>
      <c r="F6" s="28" t="s">
        <v>1155</v>
      </c>
      <c r="G6" s="28" t="s">
        <v>47</v>
      </c>
      <c r="H6" s="28">
        <v>113.98</v>
      </c>
      <c r="J6" s="28">
        <v>41602.700000000004</v>
      </c>
      <c r="L6" s="32" t="s">
        <v>1218</v>
      </c>
      <c r="M6" s="37">
        <f t="shared" si="1"/>
        <v>147</v>
      </c>
      <c r="N6" s="32">
        <v>157.43</v>
      </c>
      <c r="O6" s="32">
        <v>178.43</v>
      </c>
      <c r="P6" s="28">
        <f t="shared" si="0"/>
        <v>21</v>
      </c>
    </row>
    <row r="7" spans="1:16" ht="15" x14ac:dyDescent="0.25">
      <c r="A7" s="28">
        <v>2015</v>
      </c>
      <c r="B7" s="28" t="s">
        <v>47</v>
      </c>
      <c r="C7" s="28" t="s">
        <v>167</v>
      </c>
      <c r="D7" s="28" t="s">
        <v>166</v>
      </c>
      <c r="E7" s="28" t="s">
        <v>650</v>
      </c>
      <c r="F7" s="28" t="s">
        <v>1156</v>
      </c>
      <c r="G7" s="28" t="s">
        <v>47</v>
      </c>
      <c r="H7" s="28">
        <v>133.61000000000001</v>
      </c>
      <c r="J7" s="28">
        <v>48767.65</v>
      </c>
      <c r="L7" s="32" t="s">
        <v>1219</v>
      </c>
      <c r="M7" s="37">
        <f t="shared" si="1"/>
        <v>147.9800000000001</v>
      </c>
      <c r="N7" s="32">
        <v>157.26</v>
      </c>
      <c r="O7" s="32">
        <v>178.4</v>
      </c>
      <c r="P7" s="28">
        <f t="shared" si="0"/>
        <v>21.140000000000015</v>
      </c>
    </row>
    <row r="8" spans="1:16" ht="15" x14ac:dyDescent="0.25">
      <c r="A8" s="28">
        <v>2015</v>
      </c>
      <c r="B8" s="28" t="s">
        <v>47</v>
      </c>
      <c r="C8" s="28" t="s">
        <v>107</v>
      </c>
      <c r="D8" s="28" t="s">
        <v>106</v>
      </c>
      <c r="E8" s="28" t="s">
        <v>651</v>
      </c>
      <c r="F8" s="28" t="s">
        <v>1157</v>
      </c>
      <c r="G8" s="28" t="s">
        <v>47</v>
      </c>
      <c r="H8" s="28">
        <v>157.28</v>
      </c>
      <c r="J8" s="28">
        <v>57407.199999999997</v>
      </c>
      <c r="L8" s="32" t="s">
        <v>1220</v>
      </c>
      <c r="M8" s="37">
        <f t="shared" si="1"/>
        <v>200.40999999999997</v>
      </c>
      <c r="N8" s="32">
        <v>184.63</v>
      </c>
      <c r="O8" s="32">
        <v>213.26</v>
      </c>
      <c r="P8" s="28">
        <f t="shared" si="0"/>
        <v>28.629999999999995</v>
      </c>
    </row>
    <row r="9" spans="1:16" ht="15" x14ac:dyDescent="0.25">
      <c r="A9" s="28">
        <v>2015</v>
      </c>
      <c r="B9" s="28" t="s">
        <v>47</v>
      </c>
      <c r="C9" s="28" t="s">
        <v>378</v>
      </c>
      <c r="D9" s="28" t="s">
        <v>377</v>
      </c>
      <c r="E9" s="28" t="s">
        <v>652</v>
      </c>
      <c r="F9" s="28" t="s">
        <v>1158</v>
      </c>
      <c r="G9" s="28" t="s">
        <v>47</v>
      </c>
      <c r="H9" s="28">
        <v>178.43</v>
      </c>
      <c r="J9" s="28">
        <v>65126.950000000004</v>
      </c>
      <c r="L9" s="32" t="s">
        <v>1221</v>
      </c>
      <c r="M9" s="37">
        <f t="shared" si="1"/>
        <v>200.4800000000001</v>
      </c>
      <c r="N9" s="32">
        <v>214.51</v>
      </c>
      <c r="O9" s="32">
        <v>243.15</v>
      </c>
      <c r="P9" s="28">
        <f t="shared" si="0"/>
        <v>28.640000000000015</v>
      </c>
    </row>
    <row r="10" spans="1:16" ht="15" x14ac:dyDescent="0.25">
      <c r="A10" s="28">
        <v>2015</v>
      </c>
      <c r="B10" s="28" t="s">
        <v>47</v>
      </c>
      <c r="C10" s="28" t="s">
        <v>263</v>
      </c>
      <c r="D10" s="28" t="s">
        <v>262</v>
      </c>
      <c r="E10" s="28" t="s">
        <v>653</v>
      </c>
      <c r="F10" s="28" t="s">
        <v>1159</v>
      </c>
      <c r="G10" s="28" t="s">
        <v>47</v>
      </c>
      <c r="H10" s="28">
        <v>157.26</v>
      </c>
      <c r="J10" s="28">
        <v>57399.899999999994</v>
      </c>
      <c r="L10" s="32" t="s">
        <v>1222</v>
      </c>
      <c r="M10" s="37">
        <f t="shared" si="1"/>
        <v>410.55000000000007</v>
      </c>
      <c r="N10" s="32">
        <v>153.15</v>
      </c>
      <c r="O10" s="32">
        <v>211.8</v>
      </c>
      <c r="P10" s="28">
        <f t="shared" si="0"/>
        <v>58.650000000000006</v>
      </c>
    </row>
    <row r="11" spans="1:16" ht="15" x14ac:dyDescent="0.25">
      <c r="A11" s="28">
        <v>2015</v>
      </c>
      <c r="B11" s="28" t="s">
        <v>47</v>
      </c>
      <c r="C11" s="28" t="s">
        <v>340</v>
      </c>
      <c r="D11" s="28" t="s">
        <v>339</v>
      </c>
      <c r="E11" s="28" t="s">
        <v>654</v>
      </c>
      <c r="F11" s="28" t="s">
        <v>1160</v>
      </c>
      <c r="G11" s="28" t="s">
        <v>47</v>
      </c>
      <c r="H11" s="28">
        <v>178.4</v>
      </c>
      <c r="J11" s="28">
        <v>65116</v>
      </c>
      <c r="L11" s="32" t="s">
        <v>1223</v>
      </c>
      <c r="M11" s="37">
        <f t="shared" si="1"/>
        <v>200.54999999999984</v>
      </c>
      <c r="N11" s="32">
        <v>234.3</v>
      </c>
      <c r="O11" s="32">
        <v>262.95</v>
      </c>
      <c r="P11" s="28">
        <f>O11-N11</f>
        <v>28.649999999999977</v>
      </c>
    </row>
    <row r="12" spans="1:16" ht="15" x14ac:dyDescent="0.25">
      <c r="A12" s="28">
        <v>2015</v>
      </c>
      <c r="B12" s="28" t="s">
        <v>47</v>
      </c>
      <c r="C12" s="28" t="s">
        <v>386</v>
      </c>
      <c r="D12" s="28" t="s">
        <v>385</v>
      </c>
      <c r="E12" s="28" t="s">
        <v>655</v>
      </c>
      <c r="F12" s="28" t="s">
        <v>710</v>
      </c>
      <c r="G12" s="28" t="s">
        <v>47</v>
      </c>
      <c r="H12" s="28">
        <v>184.63</v>
      </c>
      <c r="J12" s="28">
        <v>67389.95</v>
      </c>
      <c r="L12" s="32" t="s">
        <v>1230</v>
      </c>
      <c r="M12" s="37">
        <f t="shared" si="1"/>
        <v>0</v>
      </c>
      <c r="N12" s="32">
        <v>100.33</v>
      </c>
      <c r="O12" s="32">
        <v>100.33</v>
      </c>
      <c r="P12" s="28">
        <f t="shared" ref="P12:P35" si="2">O12-N12</f>
        <v>0</v>
      </c>
    </row>
    <row r="13" spans="1:16" ht="15" x14ac:dyDescent="0.25">
      <c r="A13" s="28">
        <v>2015</v>
      </c>
      <c r="B13" s="28" t="s">
        <v>47</v>
      </c>
      <c r="C13" s="28" t="s">
        <v>268</v>
      </c>
      <c r="D13" s="28" t="s">
        <v>267</v>
      </c>
      <c r="E13" s="28" t="s">
        <v>656</v>
      </c>
      <c r="F13" s="28" t="s">
        <v>711</v>
      </c>
      <c r="G13" s="28" t="s">
        <v>47</v>
      </c>
      <c r="H13" s="28">
        <v>213.26</v>
      </c>
      <c r="J13" s="28">
        <v>77839.899999999994</v>
      </c>
      <c r="L13" s="32" t="s">
        <v>1231</v>
      </c>
      <c r="M13" s="37">
        <f t="shared" si="1"/>
        <v>0</v>
      </c>
      <c r="N13" s="32">
        <v>116.63</v>
      </c>
      <c r="O13" s="32">
        <v>116.63</v>
      </c>
      <c r="P13" s="28">
        <f t="shared" si="2"/>
        <v>0</v>
      </c>
    </row>
    <row r="14" spans="1:16" ht="15" x14ac:dyDescent="0.25">
      <c r="A14" s="28">
        <v>2015</v>
      </c>
      <c r="B14" s="28" t="s">
        <v>47</v>
      </c>
      <c r="C14" s="28" t="s">
        <v>306</v>
      </c>
      <c r="D14" s="28" t="s">
        <v>305</v>
      </c>
      <c r="E14" s="28" t="s">
        <v>657</v>
      </c>
      <c r="F14" s="28" t="s">
        <v>714</v>
      </c>
      <c r="G14" s="28" t="s">
        <v>47</v>
      </c>
      <c r="H14" s="28">
        <v>214.51</v>
      </c>
      <c r="J14" s="28">
        <v>78296.149999999994</v>
      </c>
      <c r="L14" s="32" t="s">
        <v>1232</v>
      </c>
      <c r="M14" s="37">
        <f t="shared" si="1"/>
        <v>62.30000000000004</v>
      </c>
      <c r="N14" s="32">
        <v>130.44999999999999</v>
      </c>
      <c r="O14" s="32">
        <v>139.35</v>
      </c>
      <c r="P14" s="28">
        <f t="shared" si="2"/>
        <v>8.9000000000000057</v>
      </c>
    </row>
    <row r="15" spans="1:16" ht="15" x14ac:dyDescent="0.25">
      <c r="A15" s="28">
        <v>2015</v>
      </c>
      <c r="B15" s="28" t="s">
        <v>47</v>
      </c>
      <c r="C15" s="28" t="s">
        <v>197</v>
      </c>
      <c r="D15" s="28" t="s">
        <v>196</v>
      </c>
      <c r="E15" s="28" t="s">
        <v>658</v>
      </c>
      <c r="F15" s="28" t="s">
        <v>715</v>
      </c>
      <c r="G15" s="28" t="s">
        <v>47</v>
      </c>
      <c r="H15" s="28">
        <v>243.15</v>
      </c>
      <c r="J15" s="28">
        <v>88749.75</v>
      </c>
      <c r="L15" s="32" t="s">
        <v>1233</v>
      </c>
      <c r="M15" s="37">
        <f t="shared" si="1"/>
        <v>73.640000000000072</v>
      </c>
      <c r="N15" s="32">
        <v>143.13</v>
      </c>
      <c r="O15" s="32">
        <v>153.65</v>
      </c>
      <c r="P15" s="28">
        <f t="shared" si="2"/>
        <v>10.52000000000001</v>
      </c>
    </row>
    <row r="16" spans="1:16" ht="15" x14ac:dyDescent="0.25">
      <c r="A16" s="28">
        <v>2015</v>
      </c>
      <c r="B16" s="28" t="s">
        <v>47</v>
      </c>
      <c r="C16" s="28" t="s">
        <v>574</v>
      </c>
      <c r="D16" s="28" t="s">
        <v>573</v>
      </c>
      <c r="E16" s="28" t="s">
        <v>659</v>
      </c>
      <c r="F16" s="28" t="s">
        <v>718</v>
      </c>
      <c r="G16" s="28" t="s">
        <v>47</v>
      </c>
      <c r="H16" s="28">
        <v>153.15</v>
      </c>
      <c r="J16" s="28">
        <v>55899.75</v>
      </c>
      <c r="L16" s="32" t="s">
        <v>1234</v>
      </c>
      <c r="M16" s="37">
        <f t="shared" si="1"/>
        <v>106.75</v>
      </c>
      <c r="N16" s="32">
        <v>178.29</v>
      </c>
      <c r="O16" s="32">
        <v>193.54</v>
      </c>
      <c r="P16" s="28">
        <f t="shared" si="2"/>
        <v>15.25</v>
      </c>
    </row>
    <row r="17" spans="1:16" ht="15" x14ac:dyDescent="0.25">
      <c r="A17" s="28">
        <v>2015</v>
      </c>
      <c r="B17" s="28" t="s">
        <v>47</v>
      </c>
      <c r="C17" s="28" t="s">
        <v>576</v>
      </c>
      <c r="D17" s="28" t="s">
        <v>575</v>
      </c>
      <c r="E17" s="28" t="s">
        <v>660</v>
      </c>
      <c r="F17" s="28" t="s">
        <v>719</v>
      </c>
      <c r="G17" s="28" t="s">
        <v>47</v>
      </c>
      <c r="H17" s="28">
        <v>211.8</v>
      </c>
      <c r="J17" s="28">
        <v>77307</v>
      </c>
      <c r="L17" s="32" t="s">
        <v>1235</v>
      </c>
      <c r="M17" s="37">
        <f t="shared" si="1"/>
        <v>112.63000000000002</v>
      </c>
      <c r="N17" s="32">
        <v>171.62</v>
      </c>
      <c r="O17" s="32">
        <v>187.71</v>
      </c>
      <c r="P17" s="28">
        <f t="shared" si="2"/>
        <v>16.090000000000003</v>
      </c>
    </row>
    <row r="18" spans="1:16" ht="15" x14ac:dyDescent="0.25">
      <c r="A18" s="28">
        <v>2015</v>
      </c>
      <c r="B18" s="28" t="s">
        <v>47</v>
      </c>
      <c r="C18" s="28" t="s">
        <v>93</v>
      </c>
      <c r="D18" s="28" t="s">
        <v>92</v>
      </c>
      <c r="E18" s="28" t="s">
        <v>661</v>
      </c>
      <c r="F18" s="28" t="s">
        <v>722</v>
      </c>
      <c r="G18" s="28" t="s">
        <v>47</v>
      </c>
      <c r="H18" s="28">
        <v>234.3</v>
      </c>
      <c r="J18" s="28">
        <v>85519.5</v>
      </c>
      <c r="L18" s="32" t="s">
        <v>1236</v>
      </c>
      <c r="M18" s="37">
        <f t="shared" si="1"/>
        <v>146.58000000000018</v>
      </c>
      <c r="N18" s="32">
        <v>241.79</v>
      </c>
      <c r="O18" s="32">
        <v>262.73</v>
      </c>
      <c r="P18" s="28">
        <f t="shared" si="2"/>
        <v>20.940000000000026</v>
      </c>
    </row>
    <row r="19" spans="1:16" ht="15" x14ac:dyDescent="0.25">
      <c r="A19" s="28">
        <v>2015</v>
      </c>
      <c r="B19" s="28" t="s">
        <v>47</v>
      </c>
      <c r="C19" s="28" t="s">
        <v>188</v>
      </c>
      <c r="D19" s="28" t="s">
        <v>187</v>
      </c>
      <c r="E19" s="28" t="s">
        <v>662</v>
      </c>
      <c r="F19" s="28" t="s">
        <v>723</v>
      </c>
      <c r="G19" s="28" t="s">
        <v>47</v>
      </c>
      <c r="H19" s="28">
        <v>262.95</v>
      </c>
      <c r="J19" s="28">
        <v>95976.75</v>
      </c>
      <c r="L19" s="32" t="s">
        <v>1237</v>
      </c>
      <c r="M19" s="37">
        <f t="shared" si="1"/>
        <v>106.67999999999986</v>
      </c>
      <c r="N19" s="32">
        <v>203.3</v>
      </c>
      <c r="O19" s="32">
        <v>218.54</v>
      </c>
      <c r="P19" s="28">
        <f t="shared" si="2"/>
        <v>15.239999999999981</v>
      </c>
    </row>
    <row r="20" spans="1:16" ht="15" x14ac:dyDescent="0.25">
      <c r="A20" s="28">
        <v>2015</v>
      </c>
      <c r="B20" s="28" t="s">
        <v>47</v>
      </c>
      <c r="C20" s="28" t="s">
        <v>158</v>
      </c>
      <c r="D20" s="28" t="s">
        <v>157</v>
      </c>
      <c r="E20" s="28" t="s">
        <v>663</v>
      </c>
      <c r="F20" s="28" t="s">
        <v>738</v>
      </c>
      <c r="G20" s="28" t="s">
        <v>47</v>
      </c>
      <c r="H20" s="28">
        <v>64.38</v>
      </c>
      <c r="J20" s="28">
        <v>23498.699999999997</v>
      </c>
      <c r="L20" s="32" t="s">
        <v>1198</v>
      </c>
      <c r="M20" s="37">
        <f t="shared" si="1"/>
        <v>0</v>
      </c>
      <c r="N20" s="32">
        <v>130.66</v>
      </c>
      <c r="O20" s="32">
        <v>130.66</v>
      </c>
      <c r="P20" s="28">
        <f t="shared" si="2"/>
        <v>0</v>
      </c>
    </row>
    <row r="21" spans="1:16" ht="15" x14ac:dyDescent="0.25">
      <c r="A21" s="28">
        <v>2015</v>
      </c>
      <c r="B21" s="28" t="s">
        <v>47</v>
      </c>
      <c r="C21" s="28" t="s">
        <v>79</v>
      </c>
      <c r="D21" s="28" t="s">
        <v>78</v>
      </c>
      <c r="E21" s="28" t="s">
        <v>664</v>
      </c>
      <c r="F21" s="28" t="s">
        <v>739</v>
      </c>
      <c r="G21" s="28" t="s">
        <v>47</v>
      </c>
      <c r="H21" s="28">
        <v>100.33</v>
      </c>
      <c r="J21" s="28">
        <v>36620.449999999997</v>
      </c>
      <c r="L21" s="32" t="s">
        <v>1199</v>
      </c>
      <c r="M21" s="37">
        <f t="shared" si="1"/>
        <v>0</v>
      </c>
      <c r="N21" s="32">
        <v>154.66</v>
      </c>
      <c r="O21" s="32">
        <v>154.66</v>
      </c>
      <c r="P21" s="28">
        <f t="shared" si="2"/>
        <v>0</v>
      </c>
    </row>
    <row r="22" spans="1:16" ht="15" x14ac:dyDescent="0.25">
      <c r="A22" s="28">
        <v>2015</v>
      </c>
      <c r="B22" s="28" t="s">
        <v>47</v>
      </c>
      <c r="C22" s="28" t="s">
        <v>252</v>
      </c>
      <c r="D22" s="28" t="s">
        <v>251</v>
      </c>
      <c r="E22" s="28" t="s">
        <v>665</v>
      </c>
      <c r="F22" s="28" t="s">
        <v>742</v>
      </c>
      <c r="G22" s="28" t="s">
        <v>47</v>
      </c>
      <c r="H22" s="28">
        <v>80.69</v>
      </c>
      <c r="J22" s="28">
        <v>29451.85</v>
      </c>
      <c r="L22" s="32" t="s">
        <v>1200</v>
      </c>
      <c r="M22" s="37">
        <f t="shared" si="1"/>
        <v>163.17000000000002</v>
      </c>
      <c r="N22" s="32">
        <v>144.66</v>
      </c>
      <c r="O22" s="32">
        <v>167.97</v>
      </c>
      <c r="P22" s="28">
        <f t="shared" si="2"/>
        <v>23.310000000000002</v>
      </c>
    </row>
    <row r="23" spans="1:16" ht="15" x14ac:dyDescent="0.25">
      <c r="A23" s="28">
        <v>2015</v>
      </c>
      <c r="B23" s="28" t="s">
        <v>47</v>
      </c>
      <c r="C23" s="28" t="s">
        <v>177</v>
      </c>
      <c r="D23" s="28" t="s">
        <v>176</v>
      </c>
      <c r="E23" s="28" t="s">
        <v>666</v>
      </c>
      <c r="F23" s="28" t="s">
        <v>743</v>
      </c>
      <c r="G23" s="28" t="s">
        <v>47</v>
      </c>
      <c r="H23" s="28">
        <v>116.63</v>
      </c>
      <c r="J23" s="28">
        <v>42569.95</v>
      </c>
      <c r="L23" s="32" t="s">
        <v>1201</v>
      </c>
      <c r="M23" s="37">
        <f t="shared" si="1"/>
        <v>166.88000000000002</v>
      </c>
      <c r="N23" s="32">
        <v>156.43</v>
      </c>
      <c r="O23" s="32">
        <v>180.27</v>
      </c>
      <c r="P23" s="28">
        <f t="shared" si="2"/>
        <v>23.840000000000003</v>
      </c>
    </row>
    <row r="24" spans="1:16" ht="15" x14ac:dyDescent="0.25">
      <c r="A24" s="28">
        <v>2015</v>
      </c>
      <c r="B24" s="28" t="s">
        <v>47</v>
      </c>
      <c r="C24" s="28" t="s">
        <v>220</v>
      </c>
      <c r="D24" s="28" t="s">
        <v>219</v>
      </c>
      <c r="E24" s="28" t="s">
        <v>667</v>
      </c>
      <c r="F24" s="28" t="s">
        <v>760</v>
      </c>
      <c r="G24" s="28" t="s">
        <v>47</v>
      </c>
      <c r="H24" s="28">
        <v>94.49</v>
      </c>
      <c r="J24" s="28">
        <v>34488.85</v>
      </c>
      <c r="L24" s="32" t="s">
        <v>1202</v>
      </c>
      <c r="M24" s="37">
        <f t="shared" si="1"/>
        <v>199.07999999999998</v>
      </c>
      <c r="N24" s="32">
        <v>181.68</v>
      </c>
      <c r="O24" s="32">
        <v>210.12</v>
      </c>
      <c r="P24" s="28">
        <f t="shared" si="2"/>
        <v>28.439999999999998</v>
      </c>
    </row>
    <row r="25" spans="1:16" ht="15" x14ac:dyDescent="0.25">
      <c r="A25" s="28">
        <v>2015</v>
      </c>
      <c r="B25" s="28" t="s">
        <v>47</v>
      </c>
      <c r="C25" s="28" t="s">
        <v>266</v>
      </c>
      <c r="D25" s="28" t="s">
        <v>265</v>
      </c>
      <c r="E25" s="28" t="s">
        <v>668</v>
      </c>
      <c r="F25" s="28" t="s">
        <v>761</v>
      </c>
      <c r="G25" s="28" t="s">
        <v>47</v>
      </c>
      <c r="H25" s="28">
        <v>130.44999999999999</v>
      </c>
      <c r="J25" s="28">
        <v>47614.249999999993</v>
      </c>
      <c r="L25" s="32" t="s">
        <v>1203</v>
      </c>
      <c r="M25" s="37">
        <f t="shared" si="1"/>
        <v>233.94000000000011</v>
      </c>
      <c r="N25" s="32">
        <v>191.13</v>
      </c>
      <c r="O25" s="32">
        <v>224.55</v>
      </c>
      <c r="P25" s="28">
        <f t="shared" si="2"/>
        <v>33.420000000000016</v>
      </c>
    </row>
    <row r="26" spans="1:16" ht="15" x14ac:dyDescent="0.25">
      <c r="A26" s="28">
        <v>2015</v>
      </c>
      <c r="B26" s="28" t="s">
        <v>47</v>
      </c>
      <c r="C26" s="28" t="s">
        <v>235</v>
      </c>
      <c r="D26" s="28" t="s">
        <v>234</v>
      </c>
      <c r="E26" s="28" t="s">
        <v>669</v>
      </c>
      <c r="F26" s="28" t="s">
        <v>762</v>
      </c>
      <c r="G26" s="28" t="s">
        <v>47</v>
      </c>
      <c r="H26" s="28">
        <v>103.39</v>
      </c>
      <c r="J26" s="28">
        <v>37737.35</v>
      </c>
      <c r="L26" s="32" t="s">
        <v>1204</v>
      </c>
      <c r="M26" s="37">
        <f t="shared" si="1"/>
        <v>210.84000000000003</v>
      </c>
      <c r="N26" s="32">
        <v>202.23</v>
      </c>
      <c r="O26" s="32">
        <v>232.35</v>
      </c>
      <c r="P26" s="28">
        <f t="shared" si="2"/>
        <v>30.120000000000005</v>
      </c>
    </row>
    <row r="27" spans="1:16" x14ac:dyDescent="0.3">
      <c r="A27" s="28">
        <v>2015</v>
      </c>
      <c r="B27" s="28" t="s">
        <v>47</v>
      </c>
      <c r="C27" s="28" t="s">
        <v>300</v>
      </c>
      <c r="D27" s="28" t="s">
        <v>299</v>
      </c>
      <c r="E27" s="28" t="s">
        <v>670</v>
      </c>
      <c r="F27" s="28" t="s">
        <v>763</v>
      </c>
      <c r="G27" s="28" t="s">
        <v>47</v>
      </c>
      <c r="H27" s="28">
        <v>139.35</v>
      </c>
      <c r="J27" s="28">
        <v>50862.75</v>
      </c>
      <c r="L27" s="32" t="s">
        <v>1205</v>
      </c>
      <c r="M27" s="37">
        <f t="shared" si="1"/>
        <v>75.110000000000127</v>
      </c>
      <c r="N27" s="32">
        <v>152.26</v>
      </c>
      <c r="O27" s="32">
        <v>162.99</v>
      </c>
      <c r="P27" s="28">
        <f t="shared" si="2"/>
        <v>10.730000000000018</v>
      </c>
    </row>
    <row r="28" spans="1:16" x14ac:dyDescent="0.3">
      <c r="A28" s="28">
        <v>2015</v>
      </c>
      <c r="B28" s="28" t="s">
        <v>47</v>
      </c>
      <c r="C28" s="28" t="s">
        <v>275</v>
      </c>
      <c r="D28" s="28" t="s">
        <v>274</v>
      </c>
      <c r="E28" s="28" t="s">
        <v>671</v>
      </c>
      <c r="F28" s="28" t="s">
        <v>769</v>
      </c>
      <c r="G28" s="28" t="s">
        <v>47</v>
      </c>
      <c r="H28" s="28">
        <v>107.2</v>
      </c>
      <c r="J28" s="28">
        <v>39128</v>
      </c>
      <c r="L28" s="32" t="s">
        <v>1206</v>
      </c>
      <c r="M28" s="37">
        <f t="shared" si="1"/>
        <v>150.15000000000032</v>
      </c>
      <c r="N28" s="32">
        <v>264.02</v>
      </c>
      <c r="O28" s="32">
        <v>285.47000000000003</v>
      </c>
      <c r="P28" s="28">
        <f t="shared" si="2"/>
        <v>21.450000000000045</v>
      </c>
    </row>
    <row r="29" spans="1:16" x14ac:dyDescent="0.3">
      <c r="A29" s="28">
        <v>2015</v>
      </c>
      <c r="B29" s="28" t="s">
        <v>47</v>
      </c>
      <c r="C29" s="28" t="s">
        <v>231</v>
      </c>
      <c r="D29" s="28" t="s">
        <v>230</v>
      </c>
      <c r="E29" s="28" t="s">
        <v>672</v>
      </c>
      <c r="F29" s="28" t="s">
        <v>770</v>
      </c>
      <c r="G29" s="28" t="s">
        <v>47</v>
      </c>
      <c r="H29" s="28">
        <v>143.13</v>
      </c>
      <c r="J29" s="28">
        <v>52242.45</v>
      </c>
      <c r="L29" s="32" t="s">
        <v>1207</v>
      </c>
      <c r="M29" s="37">
        <f t="shared" si="1"/>
        <v>150.28999999999979</v>
      </c>
      <c r="N29" s="32">
        <v>306.61</v>
      </c>
      <c r="O29" s="32">
        <v>328.08</v>
      </c>
      <c r="P29" s="28">
        <f t="shared" si="2"/>
        <v>21.46999999999997</v>
      </c>
    </row>
    <row r="30" spans="1:16" x14ac:dyDescent="0.3">
      <c r="A30" s="28">
        <v>2015</v>
      </c>
      <c r="B30" s="28" t="s">
        <v>47</v>
      </c>
      <c r="C30" s="28" t="s">
        <v>318</v>
      </c>
      <c r="D30" s="28" t="s">
        <v>317</v>
      </c>
      <c r="E30" s="28" t="s">
        <v>673</v>
      </c>
      <c r="F30" s="28" t="s">
        <v>771</v>
      </c>
      <c r="G30" s="28" t="s">
        <v>47</v>
      </c>
      <c r="H30" s="28">
        <v>117.7</v>
      </c>
      <c r="J30" s="28">
        <v>42960.5</v>
      </c>
      <c r="L30" s="32" t="s">
        <v>1208</v>
      </c>
      <c r="M30" s="37">
        <f t="shared" si="1"/>
        <v>150.22000000000006</v>
      </c>
      <c r="N30" s="32">
        <v>199.66</v>
      </c>
      <c r="O30" s="32">
        <v>221.12</v>
      </c>
      <c r="P30" s="28">
        <f t="shared" si="2"/>
        <v>21.460000000000008</v>
      </c>
    </row>
    <row r="31" spans="1:16" x14ac:dyDescent="0.3">
      <c r="A31" s="28">
        <v>2015</v>
      </c>
      <c r="B31" s="28" t="s">
        <v>47</v>
      </c>
      <c r="C31" s="28" t="s">
        <v>105</v>
      </c>
      <c r="D31" s="28" t="s">
        <v>104</v>
      </c>
      <c r="E31" s="28" t="s">
        <v>674</v>
      </c>
      <c r="F31" s="28" t="s">
        <v>772</v>
      </c>
      <c r="G31" s="28" t="s">
        <v>47</v>
      </c>
      <c r="H31" s="28">
        <v>153.65</v>
      </c>
      <c r="J31" s="28">
        <v>56082.25</v>
      </c>
      <c r="L31" s="32" t="s">
        <v>1209</v>
      </c>
      <c r="M31" s="37">
        <f t="shared" si="1"/>
        <v>0</v>
      </c>
      <c r="N31" s="32">
        <v>110.31</v>
      </c>
      <c r="O31" s="32">
        <v>110.31</v>
      </c>
      <c r="P31" s="28">
        <f t="shared" si="2"/>
        <v>0</v>
      </c>
    </row>
    <row r="32" spans="1:16" x14ac:dyDescent="0.3">
      <c r="A32" s="28">
        <v>2015</v>
      </c>
      <c r="B32" s="28" t="s">
        <v>47</v>
      </c>
      <c r="C32" s="28" t="s">
        <v>288</v>
      </c>
      <c r="D32" s="28" t="s">
        <v>287</v>
      </c>
      <c r="E32" s="28" t="s">
        <v>675</v>
      </c>
      <c r="F32" s="28" t="s">
        <v>777</v>
      </c>
      <c r="G32" s="28" t="s">
        <v>47</v>
      </c>
      <c r="H32" s="28">
        <v>129.13999999999999</v>
      </c>
      <c r="J32" s="28">
        <v>47136.1</v>
      </c>
      <c r="L32" s="32" t="s">
        <v>1210</v>
      </c>
      <c r="M32" s="37">
        <f t="shared" si="1"/>
        <v>0</v>
      </c>
      <c r="N32" s="32">
        <v>136.49</v>
      </c>
      <c r="O32" s="32">
        <v>136.49</v>
      </c>
      <c r="P32" s="28">
        <f t="shared" si="2"/>
        <v>0</v>
      </c>
    </row>
    <row r="33" spans="1:16" x14ac:dyDescent="0.3">
      <c r="A33" s="28">
        <v>2015</v>
      </c>
      <c r="B33" s="28" t="s">
        <v>47</v>
      </c>
      <c r="C33" s="28" t="s">
        <v>366</v>
      </c>
      <c r="D33" s="28" t="s">
        <v>365</v>
      </c>
      <c r="E33" s="28" t="s">
        <v>676</v>
      </c>
      <c r="F33" s="28" t="s">
        <v>778</v>
      </c>
      <c r="G33" s="28" t="s">
        <v>47</v>
      </c>
      <c r="H33" s="28">
        <v>178.29</v>
      </c>
      <c r="J33" s="28">
        <v>65075.85</v>
      </c>
      <c r="L33" s="32" t="s">
        <v>1211</v>
      </c>
      <c r="M33" s="37">
        <f t="shared" si="1"/>
        <v>97.160000000000167</v>
      </c>
      <c r="N33" s="32">
        <v>159.19999999999999</v>
      </c>
      <c r="O33" s="32">
        <v>173.08</v>
      </c>
      <c r="P33" s="28">
        <f t="shared" si="2"/>
        <v>13.880000000000024</v>
      </c>
    </row>
    <row r="34" spans="1:16" x14ac:dyDescent="0.3">
      <c r="A34" s="28">
        <v>2015</v>
      </c>
      <c r="B34" s="28" t="s">
        <v>47</v>
      </c>
      <c r="C34" s="28" t="s">
        <v>202</v>
      </c>
      <c r="D34" s="28" t="s">
        <v>201</v>
      </c>
      <c r="E34" s="36" t="s">
        <v>677</v>
      </c>
      <c r="F34" s="36" t="s">
        <v>779</v>
      </c>
      <c r="G34" s="36" t="s">
        <v>47</v>
      </c>
      <c r="H34" s="36">
        <v>144.35</v>
      </c>
      <c r="J34" s="28">
        <v>52687.75</v>
      </c>
      <c r="L34" s="32" t="s">
        <v>1212</v>
      </c>
      <c r="M34" s="37">
        <f t="shared" si="1"/>
        <v>115.07999999999998</v>
      </c>
      <c r="N34" s="32">
        <v>204.76</v>
      </c>
      <c r="O34" s="32">
        <v>221.2</v>
      </c>
      <c r="P34" s="28">
        <f t="shared" si="2"/>
        <v>16.439999999999998</v>
      </c>
    </row>
    <row r="35" spans="1:16" x14ac:dyDescent="0.3">
      <c r="A35" s="28">
        <v>2015</v>
      </c>
      <c r="B35" s="28" t="s">
        <v>47</v>
      </c>
      <c r="C35" s="28" t="s">
        <v>350</v>
      </c>
      <c r="D35" s="28" t="s">
        <v>349</v>
      </c>
      <c r="E35" s="36" t="s">
        <v>678</v>
      </c>
      <c r="F35" s="36" t="s">
        <v>780</v>
      </c>
      <c r="G35" s="36" t="s">
        <v>47</v>
      </c>
      <c r="H35" s="36">
        <v>193.54</v>
      </c>
      <c r="J35" s="28">
        <v>70642.099999999991</v>
      </c>
      <c r="L35" s="32" t="s">
        <v>1213</v>
      </c>
      <c r="M35" s="32">
        <f>P35*7</f>
        <v>142.86999999999998</v>
      </c>
      <c r="N35" s="32">
        <v>220.46</v>
      </c>
      <c r="O35" s="32">
        <v>240.87</v>
      </c>
      <c r="P35" s="28">
        <f t="shared" si="2"/>
        <v>20.409999999999997</v>
      </c>
    </row>
    <row r="36" spans="1:16" x14ac:dyDescent="0.3">
      <c r="A36" s="28">
        <v>2015</v>
      </c>
      <c r="B36" s="28" t="s">
        <v>47</v>
      </c>
      <c r="C36" s="28" t="s">
        <v>310</v>
      </c>
      <c r="D36" s="28" t="s">
        <v>309</v>
      </c>
      <c r="E36" s="28" t="s">
        <v>679</v>
      </c>
      <c r="F36" s="28" t="s">
        <v>786</v>
      </c>
      <c r="G36" s="28" t="s">
        <v>47</v>
      </c>
      <c r="H36" s="28">
        <v>122.45</v>
      </c>
      <c r="J36" s="28">
        <v>44694.25</v>
      </c>
    </row>
    <row r="37" spans="1:16" x14ac:dyDescent="0.3">
      <c r="A37" s="28">
        <v>2015</v>
      </c>
      <c r="B37" s="28" t="s">
        <v>47</v>
      </c>
      <c r="C37" s="28" t="s">
        <v>102</v>
      </c>
      <c r="D37" s="28" t="s">
        <v>101</v>
      </c>
      <c r="E37" s="28" t="s">
        <v>680</v>
      </c>
      <c r="F37" s="28" t="s">
        <v>787</v>
      </c>
      <c r="G37" s="28" t="s">
        <v>47</v>
      </c>
      <c r="H37" s="28">
        <v>171.62</v>
      </c>
      <c r="J37" s="28">
        <v>62641.3</v>
      </c>
    </row>
    <row r="38" spans="1:16" x14ac:dyDescent="0.3">
      <c r="A38" s="28">
        <v>2015</v>
      </c>
      <c r="B38" s="28" t="s">
        <v>47</v>
      </c>
      <c r="C38" s="28" t="s">
        <v>64</v>
      </c>
      <c r="D38" s="36" t="s">
        <v>63</v>
      </c>
      <c r="E38" s="36" t="s">
        <v>681</v>
      </c>
      <c r="F38" s="36" t="s">
        <v>788</v>
      </c>
      <c r="G38" s="36" t="s">
        <v>47</v>
      </c>
      <c r="H38" s="36">
        <v>138.53</v>
      </c>
      <c r="J38" s="28">
        <v>50563.45</v>
      </c>
    </row>
    <row r="39" spans="1:16" x14ac:dyDescent="0.3">
      <c r="A39" s="28">
        <v>2015</v>
      </c>
      <c r="B39" s="28" t="s">
        <v>47</v>
      </c>
      <c r="C39" s="28" t="s">
        <v>223</v>
      </c>
      <c r="D39" s="28" t="s">
        <v>222</v>
      </c>
      <c r="E39" s="28" t="s">
        <v>682</v>
      </c>
      <c r="F39" s="28" t="s">
        <v>789</v>
      </c>
      <c r="G39" s="28" t="s">
        <v>47</v>
      </c>
      <c r="H39" s="28">
        <v>187.71</v>
      </c>
      <c r="J39" s="28">
        <v>68514.150000000009</v>
      </c>
    </row>
    <row r="40" spans="1:16" x14ac:dyDescent="0.3">
      <c r="A40" s="28">
        <v>2015</v>
      </c>
      <c r="B40" s="28" t="s">
        <v>47</v>
      </c>
      <c r="C40" s="28" t="s">
        <v>147</v>
      </c>
      <c r="D40" s="28" t="s">
        <v>146</v>
      </c>
      <c r="E40" s="28" t="s">
        <v>683</v>
      </c>
      <c r="F40" s="28" t="s">
        <v>795</v>
      </c>
      <c r="G40" s="28" t="s">
        <v>47</v>
      </c>
      <c r="H40" s="28">
        <v>158.63999999999999</v>
      </c>
      <c r="J40" s="28">
        <v>57903.6</v>
      </c>
    </row>
    <row r="41" spans="1:16" x14ac:dyDescent="0.3">
      <c r="A41" s="28">
        <v>2015</v>
      </c>
      <c r="B41" s="28" t="s">
        <v>47</v>
      </c>
      <c r="C41" s="28" t="s">
        <v>142</v>
      </c>
      <c r="D41" s="28" t="s">
        <v>141</v>
      </c>
      <c r="E41" s="28" t="s">
        <v>684</v>
      </c>
      <c r="F41" s="28" t="s">
        <v>796</v>
      </c>
      <c r="G41" s="28" t="s">
        <v>47</v>
      </c>
      <c r="H41" s="28">
        <v>241.79</v>
      </c>
      <c r="J41" s="28">
        <v>88253.349999999991</v>
      </c>
    </row>
    <row r="42" spans="1:16" x14ac:dyDescent="0.3">
      <c r="A42" s="28">
        <v>2015</v>
      </c>
      <c r="B42" s="28" t="s">
        <v>47</v>
      </c>
      <c r="C42" s="28" t="s">
        <v>329</v>
      </c>
      <c r="D42" s="28" t="s">
        <v>328</v>
      </c>
      <c r="E42" s="28" t="s">
        <v>685</v>
      </c>
      <c r="F42" s="28" t="s">
        <v>797</v>
      </c>
      <c r="G42" s="28" t="s">
        <v>47</v>
      </c>
      <c r="H42" s="28">
        <v>179.58</v>
      </c>
      <c r="J42" s="28">
        <v>65546.700000000012</v>
      </c>
    </row>
    <row r="43" spans="1:16" x14ac:dyDescent="0.3">
      <c r="A43" s="28">
        <v>2015</v>
      </c>
      <c r="B43" s="28" t="s">
        <v>47</v>
      </c>
      <c r="C43" s="28" t="s">
        <v>183</v>
      </c>
      <c r="D43" s="28" t="s">
        <v>182</v>
      </c>
      <c r="E43" s="28" t="s">
        <v>686</v>
      </c>
      <c r="F43" s="28" t="s">
        <v>798</v>
      </c>
      <c r="G43" s="28" t="s">
        <v>47</v>
      </c>
      <c r="H43" s="28">
        <v>262.73</v>
      </c>
      <c r="J43" s="28">
        <v>95896.450000000012</v>
      </c>
    </row>
    <row r="44" spans="1:16" x14ac:dyDescent="0.3">
      <c r="A44" s="28">
        <v>2015</v>
      </c>
      <c r="B44" s="28" t="s">
        <v>47</v>
      </c>
      <c r="C44" s="28" t="s">
        <v>373</v>
      </c>
      <c r="D44" s="28" t="s">
        <v>372</v>
      </c>
      <c r="E44" s="28" t="s">
        <v>687</v>
      </c>
      <c r="F44" s="28" t="s">
        <v>804</v>
      </c>
      <c r="G44" s="28" t="s">
        <v>47</v>
      </c>
      <c r="H44" s="28">
        <v>154.12</v>
      </c>
      <c r="J44" s="28">
        <v>56253.8</v>
      </c>
    </row>
    <row r="45" spans="1:16" x14ac:dyDescent="0.3">
      <c r="A45" s="28">
        <v>2015</v>
      </c>
      <c r="B45" s="28" t="s">
        <v>47</v>
      </c>
      <c r="C45" s="28" t="s">
        <v>250</v>
      </c>
      <c r="D45" s="28" t="s">
        <v>249</v>
      </c>
      <c r="E45" s="28" t="s">
        <v>688</v>
      </c>
      <c r="F45" s="28" t="s">
        <v>805</v>
      </c>
      <c r="G45" s="28" t="s">
        <v>47</v>
      </c>
      <c r="H45" s="28">
        <v>203.3</v>
      </c>
      <c r="J45" s="28">
        <v>74204.5</v>
      </c>
    </row>
    <row r="46" spans="1:16" x14ac:dyDescent="0.3">
      <c r="A46" s="28">
        <v>2015</v>
      </c>
      <c r="B46" s="28" t="s">
        <v>47</v>
      </c>
      <c r="C46" s="28" t="s">
        <v>282</v>
      </c>
      <c r="D46" s="28" t="s">
        <v>281</v>
      </c>
      <c r="E46" s="28" t="s">
        <v>689</v>
      </c>
      <c r="F46" s="28" t="s">
        <v>806</v>
      </c>
      <c r="G46" s="28" t="s">
        <v>47</v>
      </c>
      <c r="H46" s="28">
        <v>169.36</v>
      </c>
      <c r="J46" s="28">
        <v>61816.4</v>
      </c>
    </row>
    <row r="47" spans="1:16" x14ac:dyDescent="0.3">
      <c r="A47" s="28">
        <v>2015</v>
      </c>
      <c r="B47" s="28" t="s">
        <v>47</v>
      </c>
      <c r="C47" s="28" t="s">
        <v>352</v>
      </c>
      <c r="D47" s="28" t="s">
        <v>351</v>
      </c>
      <c r="E47" s="28" t="s">
        <v>690</v>
      </c>
      <c r="F47" s="28" t="s">
        <v>807</v>
      </c>
      <c r="G47" s="28" t="s">
        <v>47</v>
      </c>
      <c r="H47" s="28">
        <v>218.54</v>
      </c>
      <c r="J47" s="28">
        <v>79767.099999999991</v>
      </c>
    </row>
    <row r="48" spans="1:16" x14ac:dyDescent="0.3">
      <c r="A48" s="28">
        <v>2015</v>
      </c>
      <c r="B48" s="28" t="s">
        <v>47</v>
      </c>
      <c r="C48" s="28" t="s">
        <v>126</v>
      </c>
      <c r="D48" s="28" t="s">
        <v>125</v>
      </c>
      <c r="E48" s="28" t="s">
        <v>691</v>
      </c>
      <c r="F48" s="28" t="s">
        <v>745</v>
      </c>
      <c r="G48" s="28" t="s">
        <v>47</v>
      </c>
      <c r="H48" s="28">
        <v>129.03</v>
      </c>
      <c r="J48" s="28">
        <v>47095.95</v>
      </c>
    </row>
    <row r="49" spans="1:10" x14ac:dyDescent="0.3">
      <c r="A49" s="28">
        <v>2015</v>
      </c>
      <c r="B49" s="28" t="s">
        <v>47</v>
      </c>
      <c r="C49" s="28" t="s">
        <v>257</v>
      </c>
      <c r="D49" s="28" t="s">
        <v>256</v>
      </c>
      <c r="E49" s="28" t="s">
        <v>692</v>
      </c>
      <c r="F49" s="28" t="s">
        <v>748</v>
      </c>
      <c r="G49" s="28" t="s">
        <v>47</v>
      </c>
      <c r="H49" s="28">
        <v>167.75</v>
      </c>
      <c r="J49" s="28">
        <v>61228.75</v>
      </c>
    </row>
    <row r="50" spans="1:10" x14ac:dyDescent="0.3">
      <c r="A50" s="28">
        <v>2015</v>
      </c>
      <c r="B50" s="28" t="s">
        <v>47</v>
      </c>
      <c r="C50" s="28" t="s">
        <v>272</v>
      </c>
      <c r="D50" s="28" t="s">
        <v>271</v>
      </c>
      <c r="E50" s="28" t="s">
        <v>693</v>
      </c>
      <c r="F50" s="28" t="s">
        <v>750</v>
      </c>
      <c r="G50" s="28" t="s">
        <v>47</v>
      </c>
      <c r="H50" s="28">
        <v>208.01</v>
      </c>
      <c r="J50" s="28">
        <v>75923.649999999994</v>
      </c>
    </row>
    <row r="51" spans="1:10" x14ac:dyDescent="0.3">
      <c r="A51" s="28">
        <v>2015</v>
      </c>
      <c r="B51" s="28" t="s">
        <v>47</v>
      </c>
      <c r="C51" s="28" t="s">
        <v>241</v>
      </c>
      <c r="D51" s="28" t="s">
        <v>240</v>
      </c>
      <c r="E51" s="28" t="s">
        <v>694</v>
      </c>
      <c r="F51" s="28" t="s">
        <v>752</v>
      </c>
      <c r="G51" s="28" t="s">
        <v>47</v>
      </c>
      <c r="H51" s="28">
        <v>246.46</v>
      </c>
      <c r="J51" s="28">
        <v>89957.900000000009</v>
      </c>
    </row>
    <row r="52" spans="1:10" x14ac:dyDescent="0.3">
      <c r="A52" s="28">
        <v>2015</v>
      </c>
      <c r="B52" s="28" t="s">
        <v>47</v>
      </c>
      <c r="C52" s="28" t="s">
        <v>206</v>
      </c>
      <c r="D52" s="28" t="s">
        <v>205</v>
      </c>
      <c r="E52" s="28" t="s">
        <v>695</v>
      </c>
      <c r="F52" s="28" t="s">
        <v>754</v>
      </c>
      <c r="G52" s="28" t="s">
        <v>47</v>
      </c>
      <c r="H52" s="28">
        <v>245.29</v>
      </c>
      <c r="J52" s="28">
        <v>89530.849999999991</v>
      </c>
    </row>
    <row r="53" spans="1:10" x14ac:dyDescent="0.3">
      <c r="A53" s="28">
        <v>2015</v>
      </c>
      <c r="B53" s="28" t="s">
        <v>47</v>
      </c>
      <c r="C53" s="28" t="s">
        <v>566</v>
      </c>
      <c r="D53" s="28" t="s">
        <v>565</v>
      </c>
      <c r="E53" s="28" t="s">
        <v>696</v>
      </c>
      <c r="F53" s="28" t="s">
        <v>746</v>
      </c>
      <c r="G53" s="28" t="s">
        <v>47</v>
      </c>
      <c r="H53" s="28">
        <v>320.95999999999998</v>
      </c>
      <c r="J53" s="28">
        <v>117150.39999999999</v>
      </c>
    </row>
    <row r="54" spans="1:10" x14ac:dyDescent="0.3">
      <c r="A54" s="28">
        <v>2015</v>
      </c>
      <c r="B54" s="28" t="s">
        <v>47</v>
      </c>
      <c r="C54" s="28" t="s">
        <v>217</v>
      </c>
      <c r="D54" s="28" t="s">
        <v>814</v>
      </c>
      <c r="E54" s="28" t="s">
        <v>815</v>
      </c>
      <c r="F54" s="28" t="s">
        <v>816</v>
      </c>
      <c r="G54" s="28" t="s">
        <v>47</v>
      </c>
      <c r="H54" s="28">
        <v>86.31</v>
      </c>
      <c r="J54" s="28">
        <v>31503.15</v>
      </c>
    </row>
    <row r="55" spans="1:10" x14ac:dyDescent="0.3">
      <c r="A55" s="28">
        <v>2015</v>
      </c>
      <c r="B55" s="28" t="s">
        <v>47</v>
      </c>
      <c r="C55" s="28" t="s">
        <v>112</v>
      </c>
      <c r="D55" s="28" t="s">
        <v>817</v>
      </c>
      <c r="E55" s="28" t="s">
        <v>818</v>
      </c>
      <c r="F55" s="28" t="s">
        <v>819</v>
      </c>
      <c r="G55" s="28" t="s">
        <v>47</v>
      </c>
      <c r="H55" s="28">
        <v>130.66</v>
      </c>
      <c r="J55" s="28">
        <v>47690.9</v>
      </c>
    </row>
    <row r="56" spans="1:10" x14ac:dyDescent="0.3">
      <c r="A56" s="28">
        <v>2015</v>
      </c>
      <c r="B56" s="28" t="s">
        <v>47</v>
      </c>
      <c r="C56" s="28" t="s">
        <v>123</v>
      </c>
      <c r="D56" s="28" t="s">
        <v>826</v>
      </c>
      <c r="E56" s="28" t="s">
        <v>827</v>
      </c>
      <c r="F56" s="28" t="s">
        <v>828</v>
      </c>
      <c r="G56" s="28" t="s">
        <v>47</v>
      </c>
      <c r="H56" s="28">
        <v>114.28</v>
      </c>
      <c r="J56" s="28">
        <v>41712.199999999997</v>
      </c>
    </row>
    <row r="57" spans="1:10" x14ac:dyDescent="0.3">
      <c r="A57" s="28">
        <v>2015</v>
      </c>
      <c r="B57" s="28" t="s">
        <v>47</v>
      </c>
      <c r="C57" s="28" t="s">
        <v>278</v>
      </c>
      <c r="D57" s="28" t="s">
        <v>829</v>
      </c>
      <c r="E57" s="28" t="s">
        <v>830</v>
      </c>
      <c r="F57" s="28" t="s">
        <v>831</v>
      </c>
      <c r="G57" s="28" t="s">
        <v>47</v>
      </c>
      <c r="H57" s="28">
        <v>154.66</v>
      </c>
      <c r="J57" s="28">
        <v>56450.9</v>
      </c>
    </row>
    <row r="58" spans="1:10" x14ac:dyDescent="0.3">
      <c r="A58" s="28">
        <v>2015</v>
      </c>
      <c r="B58" s="28" t="s">
        <v>47</v>
      </c>
      <c r="C58" s="28" t="s">
        <v>255</v>
      </c>
      <c r="D58" s="28" t="s">
        <v>844</v>
      </c>
      <c r="E58" s="28" t="s">
        <v>845</v>
      </c>
      <c r="F58" s="28" t="s">
        <v>846</v>
      </c>
      <c r="G58" s="28" t="s">
        <v>47</v>
      </c>
      <c r="H58" s="28">
        <v>100.3</v>
      </c>
      <c r="J58" s="28">
        <v>36609.5</v>
      </c>
    </row>
    <row r="59" spans="1:10" x14ac:dyDescent="0.3">
      <c r="A59" s="28">
        <v>2015</v>
      </c>
      <c r="B59" s="28" t="s">
        <v>47</v>
      </c>
      <c r="C59" s="28" t="s">
        <v>137</v>
      </c>
      <c r="D59" s="28" t="s">
        <v>847</v>
      </c>
      <c r="E59" s="28" t="s">
        <v>848</v>
      </c>
      <c r="F59" s="28" t="s">
        <v>849</v>
      </c>
      <c r="G59" s="28" t="s">
        <v>47</v>
      </c>
      <c r="H59" s="28">
        <v>144.66</v>
      </c>
      <c r="J59" s="28">
        <v>52800.9</v>
      </c>
    </row>
    <row r="60" spans="1:10" x14ac:dyDescent="0.3">
      <c r="A60" s="28">
        <v>2015</v>
      </c>
      <c r="B60" s="28" t="s">
        <v>47</v>
      </c>
      <c r="C60" s="28" t="s">
        <v>181</v>
      </c>
      <c r="D60" s="28" t="s">
        <v>850</v>
      </c>
      <c r="E60" s="28" t="s">
        <v>851</v>
      </c>
      <c r="F60" s="28" t="s">
        <v>852</v>
      </c>
      <c r="G60" s="28" t="s">
        <v>47</v>
      </c>
      <c r="H60" s="28">
        <v>123.62</v>
      </c>
      <c r="J60" s="28">
        <v>45121.3</v>
      </c>
    </row>
    <row r="61" spans="1:10" x14ac:dyDescent="0.3">
      <c r="A61" s="28">
        <v>2015</v>
      </c>
      <c r="B61" s="28" t="s">
        <v>47</v>
      </c>
      <c r="C61" s="28" t="s">
        <v>301</v>
      </c>
      <c r="D61" s="28" t="s">
        <v>853</v>
      </c>
      <c r="E61" s="28" t="s">
        <v>854</v>
      </c>
      <c r="F61" s="28" t="s">
        <v>855</v>
      </c>
      <c r="G61" s="28" t="s">
        <v>47</v>
      </c>
      <c r="H61" s="28">
        <v>167.97</v>
      </c>
      <c r="J61" s="28">
        <v>61309.05</v>
      </c>
    </row>
    <row r="62" spans="1:10" x14ac:dyDescent="0.3">
      <c r="A62" s="28">
        <v>2015</v>
      </c>
      <c r="B62" s="28" t="s">
        <v>47</v>
      </c>
      <c r="C62" s="28" t="s">
        <v>343</v>
      </c>
      <c r="D62" s="28" t="s">
        <v>868</v>
      </c>
      <c r="E62" s="28" t="s">
        <v>869</v>
      </c>
      <c r="F62" s="28" t="s">
        <v>870</v>
      </c>
      <c r="G62" s="28" t="s">
        <v>47</v>
      </c>
      <c r="H62" s="28">
        <v>116.06</v>
      </c>
      <c r="J62" s="28">
        <v>42361.9</v>
      </c>
    </row>
    <row r="63" spans="1:10" x14ac:dyDescent="0.3">
      <c r="A63" s="28">
        <v>2015</v>
      </c>
      <c r="B63" s="28" t="s">
        <v>47</v>
      </c>
      <c r="C63" s="28" t="s">
        <v>337</v>
      </c>
      <c r="D63" s="28" t="s">
        <v>871</v>
      </c>
      <c r="E63" s="28" t="s">
        <v>872</v>
      </c>
      <c r="F63" s="28" t="s">
        <v>873</v>
      </c>
      <c r="G63" s="28" t="s">
        <v>47</v>
      </c>
      <c r="H63" s="28">
        <v>156.43</v>
      </c>
      <c r="J63" s="28">
        <v>57096.950000000004</v>
      </c>
    </row>
    <row r="64" spans="1:10" x14ac:dyDescent="0.3">
      <c r="A64" s="28">
        <v>2015</v>
      </c>
      <c r="B64" s="28" t="s">
        <v>47</v>
      </c>
      <c r="C64" s="28" t="s">
        <v>233</v>
      </c>
      <c r="D64" s="28" t="s">
        <v>874</v>
      </c>
      <c r="E64" s="28" t="s">
        <v>875</v>
      </c>
      <c r="F64" s="28" t="s">
        <v>876</v>
      </c>
      <c r="G64" s="28" t="s">
        <v>47</v>
      </c>
      <c r="H64" s="28">
        <v>139.88999999999999</v>
      </c>
      <c r="J64" s="28">
        <v>51059.85</v>
      </c>
    </row>
    <row r="65" spans="1:10" x14ac:dyDescent="0.3">
      <c r="A65" s="28">
        <v>2015</v>
      </c>
      <c r="B65" s="28" t="s">
        <v>47</v>
      </c>
      <c r="C65" s="28" t="s">
        <v>273</v>
      </c>
      <c r="D65" s="28" t="s">
        <v>877</v>
      </c>
      <c r="E65" s="28" t="s">
        <v>878</v>
      </c>
      <c r="F65" s="28" t="s">
        <v>879</v>
      </c>
      <c r="G65" s="28" t="s">
        <v>47</v>
      </c>
      <c r="H65" s="28">
        <v>180.27</v>
      </c>
      <c r="J65" s="28">
        <v>65798.55</v>
      </c>
    </row>
    <row r="66" spans="1:10" x14ac:dyDescent="0.3">
      <c r="A66" s="28">
        <v>2015</v>
      </c>
      <c r="B66" s="28" t="s">
        <v>47</v>
      </c>
      <c r="C66" s="28" t="s">
        <v>143</v>
      </c>
      <c r="D66" s="28" t="s">
        <v>893</v>
      </c>
      <c r="E66" s="28" t="s">
        <v>894</v>
      </c>
      <c r="F66" s="28" t="s">
        <v>895</v>
      </c>
      <c r="G66" s="28" t="s">
        <v>47</v>
      </c>
      <c r="H66" s="28">
        <v>137.32</v>
      </c>
      <c r="J66" s="28">
        <v>50121.799999999996</v>
      </c>
    </row>
    <row r="67" spans="1:10" x14ac:dyDescent="0.3">
      <c r="A67" s="28">
        <v>2015</v>
      </c>
      <c r="B67" s="28" t="s">
        <v>47</v>
      </c>
      <c r="C67" s="28" t="s">
        <v>156</v>
      </c>
      <c r="D67" s="28" t="s">
        <v>896</v>
      </c>
      <c r="E67" s="28" t="s">
        <v>897</v>
      </c>
      <c r="F67" s="28" t="s">
        <v>898</v>
      </c>
      <c r="G67" s="28" t="s">
        <v>47</v>
      </c>
      <c r="H67" s="28">
        <v>181.68</v>
      </c>
      <c r="J67" s="28">
        <v>66313.2</v>
      </c>
    </row>
    <row r="68" spans="1:10" x14ac:dyDescent="0.3">
      <c r="A68" s="28">
        <v>2015</v>
      </c>
      <c r="B68" s="28" t="s">
        <v>47</v>
      </c>
      <c r="C68" s="28" t="s">
        <v>155</v>
      </c>
      <c r="D68" s="28" t="s">
        <v>899</v>
      </c>
      <c r="E68" s="28" t="s">
        <v>900</v>
      </c>
      <c r="F68" s="28" t="s">
        <v>901</v>
      </c>
      <c r="G68" s="28" t="s">
        <v>47</v>
      </c>
      <c r="H68" s="28">
        <v>165.77</v>
      </c>
      <c r="J68" s="28">
        <v>60506.05</v>
      </c>
    </row>
    <row r="69" spans="1:10" x14ac:dyDescent="0.3">
      <c r="A69" s="28">
        <v>2015</v>
      </c>
      <c r="B69" s="28" t="s">
        <v>47</v>
      </c>
      <c r="C69" s="28" t="s">
        <v>165</v>
      </c>
      <c r="D69" s="28" t="s">
        <v>902</v>
      </c>
      <c r="E69" s="28" t="s">
        <v>903</v>
      </c>
      <c r="F69" s="28" t="s">
        <v>904</v>
      </c>
      <c r="G69" s="28" t="s">
        <v>47</v>
      </c>
      <c r="H69" s="28">
        <v>210.12</v>
      </c>
      <c r="J69" s="28">
        <v>76693.8</v>
      </c>
    </row>
    <row r="70" spans="1:10" x14ac:dyDescent="0.3">
      <c r="A70" s="28">
        <v>2015</v>
      </c>
      <c r="B70" s="28" t="s">
        <v>47</v>
      </c>
      <c r="C70" s="28" t="s">
        <v>228</v>
      </c>
      <c r="D70" s="28" t="s">
        <v>918</v>
      </c>
      <c r="E70" s="28" t="s">
        <v>919</v>
      </c>
      <c r="F70" s="28" t="s">
        <v>920</v>
      </c>
      <c r="G70" s="28" t="s">
        <v>47</v>
      </c>
      <c r="H70" s="28">
        <v>150.75</v>
      </c>
      <c r="J70" s="28">
        <v>55023.75</v>
      </c>
    </row>
    <row r="71" spans="1:10" x14ac:dyDescent="0.3">
      <c r="A71" s="28">
        <v>2015</v>
      </c>
      <c r="B71" s="28" t="s">
        <v>47</v>
      </c>
      <c r="C71" s="28" t="s">
        <v>364</v>
      </c>
      <c r="D71" s="28" t="s">
        <v>921</v>
      </c>
      <c r="E71" s="28" t="s">
        <v>922</v>
      </c>
      <c r="F71" s="28" t="s">
        <v>923</v>
      </c>
      <c r="G71" s="28" t="s">
        <v>47</v>
      </c>
      <c r="H71" s="28">
        <v>191.13</v>
      </c>
      <c r="J71" s="28">
        <v>69762.45</v>
      </c>
    </row>
    <row r="72" spans="1:10" x14ac:dyDescent="0.3">
      <c r="A72" s="28">
        <v>2015</v>
      </c>
      <c r="B72" s="28" t="s">
        <v>47</v>
      </c>
      <c r="C72" s="28" t="s">
        <v>380</v>
      </c>
      <c r="D72" s="28" t="s">
        <v>924</v>
      </c>
      <c r="E72" s="28" t="s">
        <v>925</v>
      </c>
      <c r="F72" s="28" t="s">
        <v>926</v>
      </c>
      <c r="G72" s="28" t="s">
        <v>47</v>
      </c>
      <c r="H72" s="28">
        <v>184.16</v>
      </c>
      <c r="J72" s="28">
        <v>67218.399999999994</v>
      </c>
    </row>
    <row r="73" spans="1:10" x14ac:dyDescent="0.3">
      <c r="A73" s="28">
        <v>2015</v>
      </c>
      <c r="B73" s="28" t="s">
        <v>47</v>
      </c>
      <c r="C73" s="28" t="s">
        <v>289</v>
      </c>
      <c r="D73" s="28" t="s">
        <v>927</v>
      </c>
      <c r="E73" s="28" t="s">
        <v>928</v>
      </c>
      <c r="F73" s="28" t="s">
        <v>929</v>
      </c>
      <c r="G73" s="28" t="s">
        <v>47</v>
      </c>
      <c r="H73" s="28">
        <v>224.55</v>
      </c>
      <c r="J73" s="28">
        <v>81960.75</v>
      </c>
    </row>
    <row r="74" spans="1:10" x14ac:dyDescent="0.3">
      <c r="A74" s="28">
        <v>2015</v>
      </c>
      <c r="B74" s="28" t="s">
        <v>47</v>
      </c>
      <c r="C74" s="28" t="s">
        <v>162</v>
      </c>
      <c r="D74" s="28" t="s">
        <v>943</v>
      </c>
      <c r="E74" s="28" t="s">
        <v>944</v>
      </c>
      <c r="F74" s="28" t="s">
        <v>945</v>
      </c>
      <c r="G74" s="28" t="s">
        <v>47</v>
      </c>
      <c r="H74" s="28">
        <v>168.35</v>
      </c>
      <c r="J74" s="28">
        <v>61447.75</v>
      </c>
    </row>
    <row r="75" spans="1:10" x14ac:dyDescent="0.3">
      <c r="A75" s="28">
        <v>2015</v>
      </c>
      <c r="B75" s="28" t="s">
        <v>47</v>
      </c>
      <c r="C75" s="28" t="s">
        <v>68</v>
      </c>
      <c r="D75" s="28" t="s">
        <v>946</v>
      </c>
      <c r="E75" s="28" t="s">
        <v>947</v>
      </c>
      <c r="F75" s="28" t="s">
        <v>948</v>
      </c>
      <c r="G75" s="28" t="s">
        <v>47</v>
      </c>
      <c r="H75" s="28">
        <v>202.23</v>
      </c>
      <c r="J75" s="28">
        <v>73813.95</v>
      </c>
    </row>
    <row r="76" spans="1:10" x14ac:dyDescent="0.3">
      <c r="A76" s="28">
        <v>2015</v>
      </c>
      <c r="B76" s="28" t="s">
        <v>47</v>
      </c>
      <c r="C76" s="28" t="s">
        <v>178</v>
      </c>
      <c r="D76" s="28" t="s">
        <v>949</v>
      </c>
      <c r="E76" s="28" t="s">
        <v>950</v>
      </c>
      <c r="F76" s="28" t="s">
        <v>951</v>
      </c>
      <c r="G76" s="28" t="s">
        <v>47</v>
      </c>
      <c r="H76" s="28">
        <v>198.47</v>
      </c>
      <c r="J76" s="28">
        <v>72441.55</v>
      </c>
    </row>
    <row r="77" spans="1:10" x14ac:dyDescent="0.3">
      <c r="A77" s="28">
        <v>2015</v>
      </c>
      <c r="B77" s="28" t="s">
        <v>47</v>
      </c>
      <c r="C77" s="28" t="s">
        <v>134</v>
      </c>
      <c r="D77" s="28" t="s">
        <v>952</v>
      </c>
      <c r="E77" s="28" t="s">
        <v>953</v>
      </c>
      <c r="F77" s="28" t="s">
        <v>954</v>
      </c>
      <c r="G77" s="28" t="s">
        <v>47</v>
      </c>
      <c r="H77" s="28">
        <v>232.35</v>
      </c>
      <c r="J77" s="28">
        <v>84807.75</v>
      </c>
    </row>
    <row r="78" spans="1:10" x14ac:dyDescent="0.3">
      <c r="A78" s="28">
        <v>2015</v>
      </c>
      <c r="B78" s="28" t="s">
        <v>47</v>
      </c>
      <c r="C78" s="28" t="s">
        <v>360</v>
      </c>
      <c r="D78" s="28" t="s">
        <v>967</v>
      </c>
      <c r="E78" s="28" t="s">
        <v>968</v>
      </c>
      <c r="F78" s="28" t="s">
        <v>969</v>
      </c>
      <c r="G78" s="28" t="s">
        <v>47</v>
      </c>
      <c r="H78" s="28">
        <v>102.22</v>
      </c>
      <c r="J78" s="28">
        <v>37310.300000000003</v>
      </c>
    </row>
    <row r="79" spans="1:10" x14ac:dyDescent="0.3">
      <c r="A79" s="28">
        <v>2015</v>
      </c>
      <c r="B79" s="28" t="s">
        <v>47</v>
      </c>
      <c r="C79" s="28" t="s">
        <v>65</v>
      </c>
      <c r="D79" s="28" t="s">
        <v>970</v>
      </c>
      <c r="E79" s="28" t="s">
        <v>971</v>
      </c>
      <c r="F79" s="28" t="s">
        <v>972</v>
      </c>
      <c r="G79" s="28" t="s">
        <v>47</v>
      </c>
      <c r="H79" s="28">
        <v>152.26</v>
      </c>
      <c r="J79" s="28">
        <v>55574.899999999994</v>
      </c>
    </row>
    <row r="80" spans="1:10" x14ac:dyDescent="0.3">
      <c r="A80" s="28">
        <v>2015</v>
      </c>
      <c r="B80" s="28" t="s">
        <v>47</v>
      </c>
      <c r="C80" s="28" t="s">
        <v>307</v>
      </c>
      <c r="D80" s="28" t="s">
        <v>973</v>
      </c>
      <c r="E80" s="28" t="s">
        <v>974</v>
      </c>
      <c r="F80" s="28" t="s">
        <v>975</v>
      </c>
      <c r="G80" s="28" t="s">
        <v>47</v>
      </c>
      <c r="H80" s="28">
        <v>112.95</v>
      </c>
      <c r="J80" s="28">
        <v>41226.75</v>
      </c>
    </row>
    <row r="81" spans="1:10" x14ac:dyDescent="0.3">
      <c r="A81" s="28">
        <v>2015</v>
      </c>
      <c r="B81" s="28" t="s">
        <v>47</v>
      </c>
      <c r="C81" s="28" t="s">
        <v>57</v>
      </c>
      <c r="D81" s="28" t="s">
        <v>976</v>
      </c>
      <c r="E81" s="28" t="s">
        <v>977</v>
      </c>
      <c r="F81" s="28" t="s">
        <v>978</v>
      </c>
      <c r="G81" s="28" t="s">
        <v>47</v>
      </c>
      <c r="H81" s="28">
        <v>162.99</v>
      </c>
      <c r="J81" s="28">
        <v>59491.350000000006</v>
      </c>
    </row>
    <row r="82" spans="1:10" x14ac:dyDescent="0.3">
      <c r="A82" s="28">
        <v>2015</v>
      </c>
      <c r="B82" s="28" t="s">
        <v>47</v>
      </c>
      <c r="C82" s="28" t="s">
        <v>173</v>
      </c>
      <c r="D82" s="28" t="s">
        <v>991</v>
      </c>
      <c r="E82" s="28" t="s">
        <v>992</v>
      </c>
      <c r="F82" s="28" t="s">
        <v>993</v>
      </c>
      <c r="G82" s="28" t="s">
        <v>47</v>
      </c>
      <c r="H82" s="28">
        <v>199.88</v>
      </c>
      <c r="J82" s="28">
        <v>72956.2</v>
      </c>
    </row>
    <row r="83" spans="1:10" x14ac:dyDescent="0.3">
      <c r="A83" s="28">
        <v>2015</v>
      </c>
      <c r="B83" s="28" t="s">
        <v>47</v>
      </c>
      <c r="C83" s="28" t="s">
        <v>88</v>
      </c>
      <c r="D83" s="28" t="s">
        <v>994</v>
      </c>
      <c r="E83" s="28" t="s">
        <v>995</v>
      </c>
      <c r="F83" s="28" t="s">
        <v>996</v>
      </c>
      <c r="G83" s="28" t="s">
        <v>47</v>
      </c>
      <c r="H83" s="28">
        <v>264.02</v>
      </c>
      <c r="J83" s="28">
        <v>96367.299999999988</v>
      </c>
    </row>
    <row r="84" spans="1:10" x14ac:dyDescent="0.3">
      <c r="A84" s="28">
        <v>2015</v>
      </c>
      <c r="B84" s="28" t="s">
        <v>47</v>
      </c>
      <c r="C84" s="28" t="s">
        <v>227</v>
      </c>
      <c r="D84" s="28" t="s">
        <v>997</v>
      </c>
      <c r="E84" s="28" t="s">
        <v>998</v>
      </c>
      <c r="F84" s="28" t="s">
        <v>999</v>
      </c>
      <c r="G84" s="28" t="s">
        <v>47</v>
      </c>
      <c r="H84" s="28">
        <v>221.34</v>
      </c>
      <c r="J84" s="28">
        <v>80789.100000000006</v>
      </c>
    </row>
    <row r="85" spans="1:10" x14ac:dyDescent="0.3">
      <c r="A85" s="28">
        <v>2015</v>
      </c>
      <c r="B85" s="28" t="s">
        <v>47</v>
      </c>
      <c r="C85" s="28" t="s">
        <v>186</v>
      </c>
      <c r="D85" s="28" t="s">
        <v>1000</v>
      </c>
      <c r="E85" s="28" t="s">
        <v>1001</v>
      </c>
      <c r="F85" s="28" t="s">
        <v>1002</v>
      </c>
      <c r="G85" s="28" t="s">
        <v>47</v>
      </c>
      <c r="H85" s="28">
        <v>285.47000000000003</v>
      </c>
      <c r="J85" s="28">
        <v>104196.55</v>
      </c>
    </row>
    <row r="86" spans="1:10" x14ac:dyDescent="0.3">
      <c r="A86" s="28">
        <v>2015</v>
      </c>
      <c r="B86" s="28" t="s">
        <v>47</v>
      </c>
      <c r="C86" s="28" t="s">
        <v>195</v>
      </c>
      <c r="D86" s="28" t="s">
        <v>1015</v>
      </c>
      <c r="E86" s="28" t="s">
        <v>1016</v>
      </c>
      <c r="F86" s="28" t="s">
        <v>1017</v>
      </c>
      <c r="G86" s="28" t="s">
        <v>47</v>
      </c>
      <c r="H86" s="28">
        <v>233.06</v>
      </c>
      <c r="J86" s="28">
        <v>85066.9</v>
      </c>
    </row>
    <row r="87" spans="1:10" x14ac:dyDescent="0.3">
      <c r="A87" s="28">
        <v>2015</v>
      </c>
      <c r="B87" s="28" t="s">
        <v>47</v>
      </c>
      <c r="C87" s="28" t="s">
        <v>325</v>
      </c>
      <c r="D87" s="28" t="s">
        <v>1018</v>
      </c>
      <c r="E87" s="28" t="s">
        <v>1019</v>
      </c>
      <c r="F87" s="28" t="s">
        <v>1020</v>
      </c>
      <c r="G87" s="28" t="s">
        <v>47</v>
      </c>
      <c r="H87" s="28">
        <v>306.61</v>
      </c>
      <c r="J87" s="28">
        <v>111912.65000000001</v>
      </c>
    </row>
    <row r="88" spans="1:10" x14ac:dyDescent="0.3">
      <c r="A88" s="28">
        <v>2015</v>
      </c>
      <c r="B88" s="28" t="s">
        <v>47</v>
      </c>
      <c r="C88" s="28" t="s">
        <v>103</v>
      </c>
      <c r="D88" s="28" t="s">
        <v>1021</v>
      </c>
      <c r="E88" s="28" t="s">
        <v>1022</v>
      </c>
      <c r="F88" s="28" t="s">
        <v>1023</v>
      </c>
      <c r="G88" s="28" t="s">
        <v>47</v>
      </c>
      <c r="H88" s="28">
        <v>254.51</v>
      </c>
      <c r="J88" s="28">
        <v>92896.15</v>
      </c>
    </row>
    <row r="89" spans="1:10" x14ac:dyDescent="0.3">
      <c r="A89" s="28">
        <v>2015</v>
      </c>
      <c r="B89" s="28" t="s">
        <v>47</v>
      </c>
      <c r="C89" s="28" t="s">
        <v>124</v>
      </c>
      <c r="D89" s="28" t="s">
        <v>1024</v>
      </c>
      <c r="E89" s="28" t="s">
        <v>1025</v>
      </c>
      <c r="F89" s="28" t="s">
        <v>1026</v>
      </c>
      <c r="G89" s="28" t="s">
        <v>47</v>
      </c>
      <c r="H89" s="28">
        <v>328.08</v>
      </c>
      <c r="J89" s="28">
        <v>119749.2</v>
      </c>
    </row>
    <row r="90" spans="1:10" x14ac:dyDescent="0.3">
      <c r="A90" s="28">
        <v>2015</v>
      </c>
      <c r="B90" s="28" t="s">
        <v>47</v>
      </c>
      <c r="C90" s="28" t="s">
        <v>190</v>
      </c>
      <c r="D90" s="28" t="s">
        <v>1039</v>
      </c>
      <c r="E90" s="28" t="s">
        <v>1040</v>
      </c>
      <c r="F90" s="28" t="s">
        <v>1041</v>
      </c>
      <c r="G90" s="28" t="s">
        <v>47</v>
      </c>
      <c r="H90" s="28">
        <v>149.63999999999999</v>
      </c>
      <c r="J90" s="28">
        <v>54618.6</v>
      </c>
    </row>
    <row r="91" spans="1:10" x14ac:dyDescent="0.3">
      <c r="A91" s="28">
        <v>2015</v>
      </c>
      <c r="B91" s="28" t="s">
        <v>47</v>
      </c>
      <c r="C91" s="28" t="s">
        <v>264</v>
      </c>
      <c r="D91" s="28" t="s">
        <v>1042</v>
      </c>
      <c r="E91" s="28" t="s">
        <v>1043</v>
      </c>
      <c r="F91" s="28" t="s">
        <v>1044</v>
      </c>
      <c r="G91" s="28" t="s">
        <v>47</v>
      </c>
      <c r="H91" s="28">
        <v>199.66</v>
      </c>
      <c r="J91" s="28">
        <v>72875.899999999994</v>
      </c>
    </row>
    <row r="92" spans="1:10" x14ac:dyDescent="0.3">
      <c r="A92" s="28">
        <v>2015</v>
      </c>
      <c r="B92" s="28" t="s">
        <v>47</v>
      </c>
      <c r="C92" s="28" t="s">
        <v>376</v>
      </c>
      <c r="D92" s="28" t="s">
        <v>1045</v>
      </c>
      <c r="E92" s="28" t="s">
        <v>1046</v>
      </c>
      <c r="F92" s="28" t="s">
        <v>1047</v>
      </c>
      <c r="G92" s="28" t="s">
        <v>47</v>
      </c>
      <c r="H92" s="28">
        <v>171.09</v>
      </c>
      <c r="J92" s="28">
        <v>62447.85</v>
      </c>
    </row>
    <row r="93" spans="1:10" x14ac:dyDescent="0.3">
      <c r="A93" s="28">
        <v>2015</v>
      </c>
      <c r="B93" s="28" t="s">
        <v>47</v>
      </c>
      <c r="C93" s="28" t="s">
        <v>336</v>
      </c>
      <c r="D93" s="28" t="s">
        <v>1048</v>
      </c>
      <c r="E93" s="28" t="s">
        <v>1049</v>
      </c>
      <c r="F93" s="28" t="s">
        <v>1050</v>
      </c>
      <c r="G93" s="28" t="s">
        <v>47</v>
      </c>
      <c r="H93" s="28">
        <v>221.12</v>
      </c>
      <c r="J93" s="28">
        <v>80708.800000000003</v>
      </c>
    </row>
    <row r="94" spans="1:10" x14ac:dyDescent="0.3">
      <c r="A94" s="28">
        <v>2015</v>
      </c>
      <c r="B94" s="28" t="s">
        <v>47</v>
      </c>
      <c r="C94" s="28" t="s">
        <v>113</v>
      </c>
      <c r="D94" s="28" t="s">
        <v>1057</v>
      </c>
      <c r="E94" s="28" t="s">
        <v>1058</v>
      </c>
      <c r="F94" s="28" t="s">
        <v>1059</v>
      </c>
      <c r="G94" s="28" t="s">
        <v>47</v>
      </c>
      <c r="H94" s="28">
        <v>68.62</v>
      </c>
      <c r="J94" s="28">
        <v>25046.300000000003</v>
      </c>
    </row>
    <row r="95" spans="1:10" x14ac:dyDescent="0.3">
      <c r="A95" s="28">
        <v>2015</v>
      </c>
      <c r="B95" s="28" t="s">
        <v>47</v>
      </c>
      <c r="C95" s="28" t="s">
        <v>344</v>
      </c>
      <c r="D95" s="28" t="s">
        <v>1060</v>
      </c>
      <c r="E95" s="28" t="s">
        <v>1061</v>
      </c>
      <c r="F95" s="28" t="s">
        <v>1062</v>
      </c>
      <c r="G95" s="28" t="s">
        <v>47</v>
      </c>
      <c r="H95" s="28">
        <v>110.31</v>
      </c>
      <c r="J95" s="28">
        <v>40263.15</v>
      </c>
    </row>
    <row r="96" spans="1:10" x14ac:dyDescent="0.3">
      <c r="A96" s="28">
        <v>2015</v>
      </c>
      <c r="B96" s="28" t="s">
        <v>47</v>
      </c>
      <c r="C96" s="28" t="s">
        <v>200</v>
      </c>
      <c r="D96" s="28" t="s">
        <v>1069</v>
      </c>
      <c r="E96" s="28" t="s">
        <v>1070</v>
      </c>
      <c r="F96" s="28" t="s">
        <v>1071</v>
      </c>
      <c r="G96" s="28" t="s">
        <v>47</v>
      </c>
      <c r="H96" s="28">
        <v>101.75</v>
      </c>
      <c r="J96" s="28">
        <v>37138.75</v>
      </c>
    </row>
    <row r="97" spans="1:10" x14ac:dyDescent="0.3">
      <c r="A97" s="28">
        <v>2015</v>
      </c>
      <c r="B97" s="28" t="s">
        <v>47</v>
      </c>
      <c r="C97" s="28" t="s">
        <v>248</v>
      </c>
      <c r="D97" s="28" t="s">
        <v>1072</v>
      </c>
      <c r="E97" s="28" t="s">
        <v>1073</v>
      </c>
      <c r="F97" s="28" t="s">
        <v>1074</v>
      </c>
      <c r="G97" s="28" t="s">
        <v>47</v>
      </c>
      <c r="H97" s="28">
        <v>136.49</v>
      </c>
      <c r="J97" s="28">
        <v>49818.850000000006</v>
      </c>
    </row>
    <row r="98" spans="1:10" x14ac:dyDescent="0.3">
      <c r="A98" s="28">
        <v>2015</v>
      </c>
      <c r="B98" s="28" t="s">
        <v>47</v>
      </c>
      <c r="C98" s="28" t="s">
        <v>224</v>
      </c>
      <c r="D98" s="28" t="s">
        <v>1087</v>
      </c>
      <c r="E98" s="28" t="s">
        <v>1088</v>
      </c>
      <c r="F98" s="28" t="s">
        <v>1089</v>
      </c>
      <c r="G98" s="28" t="s">
        <v>47</v>
      </c>
      <c r="H98" s="28">
        <v>124.46</v>
      </c>
      <c r="J98" s="28">
        <v>45427.899999999994</v>
      </c>
    </row>
    <row r="99" spans="1:10" x14ac:dyDescent="0.3">
      <c r="A99" s="28">
        <v>2015</v>
      </c>
      <c r="B99" s="28" t="s">
        <v>47</v>
      </c>
      <c r="C99" s="28" t="s">
        <v>99</v>
      </c>
      <c r="D99" s="28" t="s">
        <v>1090</v>
      </c>
      <c r="E99" s="28" t="s">
        <v>1091</v>
      </c>
      <c r="F99" s="28" t="s">
        <v>1092</v>
      </c>
      <c r="G99" s="28" t="s">
        <v>47</v>
      </c>
      <c r="H99" s="28">
        <v>159.19999999999999</v>
      </c>
      <c r="J99" s="28">
        <v>58107.999999999993</v>
      </c>
    </row>
    <row r="100" spans="1:10" x14ac:dyDescent="0.3">
      <c r="A100" s="28">
        <v>2015</v>
      </c>
      <c r="B100" s="28" t="s">
        <v>47</v>
      </c>
      <c r="C100" s="28" t="s">
        <v>286</v>
      </c>
      <c r="D100" s="28" t="s">
        <v>1093</v>
      </c>
      <c r="E100" s="28" t="s">
        <v>1094</v>
      </c>
      <c r="F100" s="28" t="s">
        <v>1095</v>
      </c>
      <c r="G100" s="28" t="s">
        <v>47</v>
      </c>
      <c r="H100" s="28">
        <v>137.33000000000001</v>
      </c>
      <c r="J100" s="28">
        <v>50125.450000000004</v>
      </c>
    </row>
    <row r="101" spans="1:10" x14ac:dyDescent="0.3">
      <c r="A101" s="28">
        <v>2015</v>
      </c>
      <c r="B101" s="28" t="s">
        <v>47</v>
      </c>
      <c r="C101" s="28" t="s">
        <v>292</v>
      </c>
      <c r="D101" s="28" t="s">
        <v>1096</v>
      </c>
      <c r="E101" s="28" t="s">
        <v>1097</v>
      </c>
      <c r="F101" s="28" t="s">
        <v>1098</v>
      </c>
      <c r="G101" s="28" t="s">
        <v>47</v>
      </c>
      <c r="H101" s="28">
        <v>172.08</v>
      </c>
      <c r="J101" s="28">
        <v>62809.200000000004</v>
      </c>
    </row>
    <row r="102" spans="1:10" x14ac:dyDescent="0.3">
      <c r="A102" s="28">
        <v>2015</v>
      </c>
      <c r="B102" s="28" t="s">
        <v>47</v>
      </c>
      <c r="C102" s="28" t="s">
        <v>304</v>
      </c>
      <c r="D102" s="28" t="s">
        <v>1111</v>
      </c>
      <c r="E102" s="28" t="s">
        <v>1112</v>
      </c>
      <c r="F102" s="28" t="s">
        <v>1113</v>
      </c>
      <c r="G102" s="28" t="s">
        <v>47</v>
      </c>
      <c r="H102" s="28">
        <v>157.88</v>
      </c>
      <c r="J102" s="28">
        <v>57626.2</v>
      </c>
    </row>
    <row r="103" spans="1:10" x14ac:dyDescent="0.3">
      <c r="A103" s="28">
        <v>2015</v>
      </c>
      <c r="B103" s="28" t="s">
        <v>47</v>
      </c>
      <c r="C103" s="28" t="s">
        <v>203</v>
      </c>
      <c r="D103" s="28" t="s">
        <v>1114</v>
      </c>
      <c r="E103" s="28" t="s">
        <v>1115</v>
      </c>
      <c r="F103" s="28" t="s">
        <v>1116</v>
      </c>
      <c r="G103" s="28" t="s">
        <v>47</v>
      </c>
      <c r="H103" s="28">
        <v>204.76</v>
      </c>
      <c r="J103" s="28">
        <v>74737.399999999994</v>
      </c>
    </row>
    <row r="104" spans="1:10" x14ac:dyDescent="0.3">
      <c r="A104" s="28">
        <v>2015</v>
      </c>
      <c r="B104" s="28" t="s">
        <v>47</v>
      </c>
      <c r="C104" s="28" t="s">
        <v>58</v>
      </c>
      <c r="D104" s="28" t="s">
        <v>1117</v>
      </c>
      <c r="E104" s="28" t="s">
        <v>1118</v>
      </c>
      <c r="F104" s="28" t="s">
        <v>1119</v>
      </c>
      <c r="G104" s="28" t="s">
        <v>47</v>
      </c>
      <c r="H104" s="28">
        <v>174.32</v>
      </c>
      <c r="J104" s="28">
        <v>63626.799999999996</v>
      </c>
    </row>
    <row r="105" spans="1:10" x14ac:dyDescent="0.3">
      <c r="A105" s="28">
        <v>2015</v>
      </c>
      <c r="B105" s="28" t="s">
        <v>47</v>
      </c>
      <c r="C105" s="28" t="s">
        <v>138</v>
      </c>
      <c r="D105" s="28" t="s">
        <v>1120</v>
      </c>
      <c r="E105" s="28" t="s">
        <v>1121</v>
      </c>
      <c r="F105" s="28" t="s">
        <v>1122</v>
      </c>
      <c r="G105" s="28" t="s">
        <v>47</v>
      </c>
      <c r="H105" s="28">
        <v>221.2</v>
      </c>
      <c r="J105" s="28">
        <v>80738</v>
      </c>
    </row>
    <row r="106" spans="1:10" x14ac:dyDescent="0.3">
      <c r="A106" s="28">
        <v>2015</v>
      </c>
      <c r="B106" s="28" t="s">
        <v>47</v>
      </c>
      <c r="C106" s="28" t="s">
        <v>285</v>
      </c>
      <c r="D106" s="28" t="s">
        <v>1135</v>
      </c>
      <c r="E106" s="28" t="s">
        <v>1136</v>
      </c>
      <c r="F106" s="28" t="s">
        <v>1137</v>
      </c>
      <c r="G106" s="28" t="s">
        <v>47</v>
      </c>
      <c r="H106" s="28">
        <v>173.58</v>
      </c>
      <c r="J106" s="28">
        <v>63356.700000000004</v>
      </c>
    </row>
    <row r="107" spans="1:10" x14ac:dyDescent="0.3">
      <c r="A107" s="28">
        <v>2015</v>
      </c>
      <c r="B107" s="28" t="s">
        <v>47</v>
      </c>
      <c r="C107" s="28" t="s">
        <v>356</v>
      </c>
      <c r="D107" s="28" t="s">
        <v>1138</v>
      </c>
      <c r="E107" s="28" t="s">
        <v>1139</v>
      </c>
      <c r="F107" s="28" t="s">
        <v>1140</v>
      </c>
      <c r="G107" s="28" t="s">
        <v>47</v>
      </c>
      <c r="H107" s="28">
        <v>220.46</v>
      </c>
      <c r="J107" s="28">
        <v>80467.900000000009</v>
      </c>
    </row>
    <row r="108" spans="1:10" x14ac:dyDescent="0.3">
      <c r="A108" s="28">
        <v>2015</v>
      </c>
      <c r="B108" s="28" t="s">
        <v>47</v>
      </c>
      <c r="C108" s="28" t="s">
        <v>258</v>
      </c>
      <c r="D108" s="28" t="s">
        <v>1141</v>
      </c>
      <c r="E108" s="28" t="s">
        <v>1142</v>
      </c>
      <c r="F108" s="28" t="s">
        <v>1143</v>
      </c>
      <c r="G108" s="28" t="s">
        <v>47</v>
      </c>
      <c r="H108" s="28">
        <v>193.99</v>
      </c>
      <c r="J108" s="28">
        <v>70806.350000000006</v>
      </c>
    </row>
    <row r="109" spans="1:10" x14ac:dyDescent="0.3">
      <c r="A109" s="28">
        <v>2015</v>
      </c>
      <c r="B109" s="28" t="s">
        <v>47</v>
      </c>
      <c r="C109" s="28" t="s">
        <v>179</v>
      </c>
      <c r="D109" s="28" t="s">
        <v>1144</v>
      </c>
      <c r="E109" s="28" t="s">
        <v>1145</v>
      </c>
      <c r="F109" s="28" t="s">
        <v>1146</v>
      </c>
      <c r="G109" s="28" t="s">
        <v>47</v>
      </c>
      <c r="H109" s="28">
        <v>240.87</v>
      </c>
      <c r="J109" s="28">
        <v>87917.55</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B109"/>
  <sheetViews>
    <sheetView workbookViewId="0">
      <selection sqref="A1:B109"/>
    </sheetView>
  </sheetViews>
  <sheetFormatPr defaultRowHeight="14.4" x14ac:dyDescent="0.3"/>
  <cols>
    <col min="1" max="1" width="8" bestFit="1" customWidth="1"/>
  </cols>
  <sheetData>
    <row r="1" spans="1:2" ht="15" x14ac:dyDescent="0.25">
      <c r="A1" s="28" t="s">
        <v>1443</v>
      </c>
      <c r="B1" s="28">
        <v>27.02</v>
      </c>
    </row>
    <row r="2" spans="1:2" ht="15" x14ac:dyDescent="0.25">
      <c r="A2" s="28" t="s">
        <v>1433</v>
      </c>
      <c r="B2" s="28">
        <v>117.08</v>
      </c>
    </row>
    <row r="3" spans="1:2" ht="15" x14ac:dyDescent="0.25">
      <c r="A3" s="28" t="s">
        <v>1434</v>
      </c>
      <c r="B3" s="28">
        <v>117.08</v>
      </c>
    </row>
    <row r="4" spans="1:2" ht="15" x14ac:dyDescent="0.25">
      <c r="A4" s="28" t="s">
        <v>1435</v>
      </c>
      <c r="B4" s="28">
        <v>117.08</v>
      </c>
    </row>
    <row r="5" spans="1:2" ht="15" x14ac:dyDescent="0.25">
      <c r="A5" s="28" t="s">
        <v>1436</v>
      </c>
      <c r="B5" s="28">
        <v>117.08</v>
      </c>
    </row>
    <row r="6" spans="1:2" ht="15" x14ac:dyDescent="0.25">
      <c r="A6" s="28" t="s">
        <v>1437</v>
      </c>
      <c r="B6" s="28">
        <v>117.08</v>
      </c>
    </row>
    <row r="7" spans="1:2" ht="15" x14ac:dyDescent="0.25">
      <c r="A7" s="28" t="s">
        <v>1438</v>
      </c>
      <c r="B7" s="28">
        <v>62.22</v>
      </c>
    </row>
    <row r="8" spans="1:2" ht="15" x14ac:dyDescent="0.25">
      <c r="A8" s="28" t="s">
        <v>1439</v>
      </c>
      <c r="B8" s="28">
        <v>122.39</v>
      </c>
    </row>
    <row r="9" spans="1:2" ht="15" x14ac:dyDescent="0.25">
      <c r="A9" s="28" t="s">
        <v>1440</v>
      </c>
      <c r="B9" s="28">
        <v>155.15</v>
      </c>
    </row>
    <row r="10" spans="1:2" ht="15" x14ac:dyDescent="0.25">
      <c r="A10" s="28" t="s">
        <v>1441</v>
      </c>
      <c r="B10" s="28">
        <v>139.34</v>
      </c>
    </row>
    <row r="11" spans="1:2" ht="15" x14ac:dyDescent="0.25">
      <c r="A11" s="28" t="s">
        <v>1442</v>
      </c>
      <c r="B11" s="28">
        <v>106.38</v>
      </c>
    </row>
    <row r="12" spans="1:2" ht="15" x14ac:dyDescent="0.25">
      <c r="A12" s="28" t="s">
        <v>1444</v>
      </c>
      <c r="B12" s="28">
        <v>11.06</v>
      </c>
    </row>
    <row r="13" spans="1:2" ht="15" x14ac:dyDescent="0.25">
      <c r="A13" s="28" t="s">
        <v>1445</v>
      </c>
      <c r="B13" s="28">
        <v>36.340000000000003</v>
      </c>
    </row>
    <row r="14" spans="1:2" ht="15" x14ac:dyDescent="0.25">
      <c r="A14" s="28" t="s">
        <v>1446</v>
      </c>
      <c r="B14" s="28">
        <v>67.16</v>
      </c>
    </row>
    <row r="15" spans="1:2" ht="15" x14ac:dyDescent="0.25">
      <c r="A15" s="28" t="s">
        <v>1447</v>
      </c>
      <c r="B15" s="28">
        <v>67.16</v>
      </c>
    </row>
    <row r="16" spans="1:2" ht="15" x14ac:dyDescent="0.25">
      <c r="A16" s="28" t="s">
        <v>1448</v>
      </c>
      <c r="B16" s="28">
        <v>67.16</v>
      </c>
    </row>
    <row r="17" spans="1:2" ht="15" x14ac:dyDescent="0.25">
      <c r="A17" s="28" t="s">
        <v>1449</v>
      </c>
      <c r="B17" s="28">
        <v>6.98</v>
      </c>
    </row>
    <row r="18" spans="1:2" ht="15" x14ac:dyDescent="0.25">
      <c r="A18" s="28" t="s">
        <v>1450</v>
      </c>
      <c r="B18" s="28">
        <v>38.700000000000003</v>
      </c>
    </row>
    <row r="19" spans="1:2" ht="15" x14ac:dyDescent="0.25">
      <c r="A19" s="28" t="s">
        <v>1451</v>
      </c>
      <c r="B19" s="28">
        <v>48.99</v>
      </c>
    </row>
    <row r="20" spans="1:2" ht="15" x14ac:dyDescent="0.25">
      <c r="A20" s="28" t="s">
        <v>1452</v>
      </c>
      <c r="B20" s="28">
        <v>75.38</v>
      </c>
    </row>
    <row r="21" spans="1:2" ht="15" x14ac:dyDescent="0.25">
      <c r="A21" s="28" t="s">
        <v>1453</v>
      </c>
      <c r="B21" s="28">
        <v>48.72</v>
      </c>
    </row>
    <row r="22" spans="1:2" ht="15" x14ac:dyDescent="0.25">
      <c r="A22" s="28" t="s">
        <v>1454</v>
      </c>
      <c r="B22" s="28">
        <v>63.7</v>
      </c>
    </row>
    <row r="23" spans="1:2" ht="15" x14ac:dyDescent="0.25">
      <c r="A23" s="28" t="s">
        <v>1455</v>
      </c>
      <c r="B23" s="28">
        <v>102.76</v>
      </c>
    </row>
    <row r="24" spans="1:2" ht="15" x14ac:dyDescent="0.25">
      <c r="A24" s="28" t="s">
        <v>1456</v>
      </c>
      <c r="B24" s="28">
        <v>121.39</v>
      </c>
    </row>
    <row r="25" spans="1:2" ht="15" x14ac:dyDescent="0.25">
      <c r="A25" s="28" t="s">
        <v>1457</v>
      </c>
      <c r="B25" s="28">
        <v>102.76</v>
      </c>
    </row>
    <row r="26" spans="1:2" ht="15" x14ac:dyDescent="0.25">
      <c r="A26" s="28" t="s">
        <v>1458</v>
      </c>
      <c r="B26" s="28">
        <v>84.23</v>
      </c>
    </row>
    <row r="27" spans="1:2" x14ac:dyDescent="0.3">
      <c r="A27" s="28" t="s">
        <v>1459</v>
      </c>
      <c r="B27" s="28">
        <v>81.86</v>
      </c>
    </row>
    <row r="28" spans="1:2" x14ac:dyDescent="0.3">
      <c r="A28" s="28" t="s">
        <v>1460</v>
      </c>
      <c r="B28" s="28">
        <v>121.39</v>
      </c>
    </row>
    <row r="29" spans="1:2" x14ac:dyDescent="0.3">
      <c r="A29" s="28" t="s">
        <v>1461</v>
      </c>
      <c r="B29" s="28">
        <v>147.47</v>
      </c>
    </row>
    <row r="30" spans="1:2" x14ac:dyDescent="0.3">
      <c r="A30" s="28" t="s">
        <v>1462</v>
      </c>
      <c r="B30" s="28">
        <v>49.41</v>
      </c>
    </row>
    <row r="31" spans="1:2" x14ac:dyDescent="0.3">
      <c r="A31" s="28" t="s">
        <v>1463</v>
      </c>
      <c r="B31" s="28">
        <v>55.9</v>
      </c>
    </row>
    <row r="32" spans="1:2" x14ac:dyDescent="0.3">
      <c r="A32" s="28" t="s">
        <v>1464</v>
      </c>
      <c r="B32" s="28">
        <v>59.87</v>
      </c>
    </row>
    <row r="33" spans="1:2" x14ac:dyDescent="0.3">
      <c r="A33" s="28" t="s">
        <v>1465</v>
      </c>
      <c r="B33" s="28">
        <v>54.65</v>
      </c>
    </row>
    <row r="34" spans="1:2" x14ac:dyDescent="0.3">
      <c r="A34" s="28" t="s">
        <v>1466</v>
      </c>
      <c r="B34" s="28">
        <v>65.83</v>
      </c>
    </row>
    <row r="35" spans="1:2" x14ac:dyDescent="0.3">
      <c r="A35" s="28" t="s">
        <v>1467</v>
      </c>
      <c r="B35" s="28">
        <v>82.47</v>
      </c>
    </row>
    <row r="36" spans="1:2" x14ac:dyDescent="0.3">
      <c r="A36" s="28" t="s">
        <v>1468</v>
      </c>
      <c r="B36" s="28">
        <v>72.37</v>
      </c>
    </row>
    <row r="37" spans="1:2" x14ac:dyDescent="0.3">
      <c r="A37" s="28" t="s">
        <v>1469</v>
      </c>
      <c r="B37" s="28">
        <v>78.94</v>
      </c>
    </row>
    <row r="38" spans="1:2" x14ac:dyDescent="0.3">
      <c r="A38" s="28" t="s">
        <v>1470</v>
      </c>
      <c r="B38" s="28">
        <v>82.96</v>
      </c>
    </row>
    <row r="39" spans="1:2" x14ac:dyDescent="0.3">
      <c r="A39" s="28" t="s">
        <v>1471</v>
      </c>
      <c r="B39" s="28">
        <v>50.4</v>
      </c>
    </row>
    <row r="40" spans="1:2" x14ac:dyDescent="0.3">
      <c r="A40" s="28" t="s">
        <v>1472</v>
      </c>
      <c r="B40" s="28">
        <v>61.35</v>
      </c>
    </row>
    <row r="41" spans="1:2" x14ac:dyDescent="0.3">
      <c r="A41" s="28" t="s">
        <v>1473</v>
      </c>
      <c r="B41" s="28">
        <v>68.680000000000007</v>
      </c>
    </row>
    <row r="42" spans="1:2" x14ac:dyDescent="0.3">
      <c r="A42" s="28" t="s">
        <v>1474</v>
      </c>
      <c r="B42" s="28">
        <v>59.67</v>
      </c>
    </row>
    <row r="43" spans="1:2" x14ac:dyDescent="0.3">
      <c r="A43" s="28" t="s">
        <v>1475</v>
      </c>
      <c r="B43" s="28">
        <v>75.31</v>
      </c>
    </row>
    <row r="44" spans="1:2" x14ac:dyDescent="0.3">
      <c r="A44" s="28" t="s">
        <v>1476</v>
      </c>
      <c r="B44" s="28">
        <v>95.32</v>
      </c>
    </row>
    <row r="45" spans="1:2" x14ac:dyDescent="0.3">
      <c r="A45" s="28" t="s">
        <v>1477</v>
      </c>
      <c r="B45" s="28">
        <v>38.520000000000003</v>
      </c>
    </row>
    <row r="46" spans="1:2" x14ac:dyDescent="0.3">
      <c r="A46" s="28" t="s">
        <v>1478</v>
      </c>
      <c r="B46" s="28">
        <v>43.91</v>
      </c>
    </row>
    <row r="47" spans="1:2" x14ac:dyDescent="0.3">
      <c r="A47" s="28" t="s">
        <v>1479</v>
      </c>
      <c r="B47" s="28">
        <v>47.95</v>
      </c>
    </row>
    <row r="48" spans="1:2" x14ac:dyDescent="0.3">
      <c r="A48" s="28" t="s">
        <v>1480</v>
      </c>
      <c r="B48" s="28">
        <v>47.8</v>
      </c>
    </row>
    <row r="49" spans="1:2" x14ac:dyDescent="0.3">
      <c r="A49" s="28" t="s">
        <v>1481</v>
      </c>
      <c r="B49" s="28">
        <v>57.88</v>
      </c>
    </row>
    <row r="50" spans="1:2" x14ac:dyDescent="0.3">
      <c r="A50" s="28" t="s">
        <v>1482</v>
      </c>
      <c r="B50" s="28">
        <v>74.59</v>
      </c>
    </row>
    <row r="51" spans="1:2" x14ac:dyDescent="0.3">
      <c r="A51" s="28" t="s">
        <v>1483</v>
      </c>
      <c r="B51" s="28">
        <v>128.36000000000001</v>
      </c>
    </row>
    <row r="52" spans="1:2" x14ac:dyDescent="0.3">
      <c r="A52" s="28" t="s">
        <v>1484</v>
      </c>
      <c r="B52" s="28">
        <v>8.24</v>
      </c>
    </row>
    <row r="53" spans="1:2" x14ac:dyDescent="0.3">
      <c r="A53" s="28" t="s">
        <v>1485</v>
      </c>
      <c r="B53" s="28">
        <v>19.899999999999999</v>
      </c>
    </row>
    <row r="54" spans="1:2" x14ac:dyDescent="0.3">
      <c r="A54" s="28" t="s">
        <v>1486</v>
      </c>
      <c r="B54" s="28">
        <v>19.899999999999999</v>
      </c>
    </row>
    <row r="55" spans="1:2" x14ac:dyDescent="0.3">
      <c r="A55" s="28" t="s">
        <v>1487</v>
      </c>
      <c r="B55" s="28">
        <v>27.6</v>
      </c>
    </row>
    <row r="56" spans="1:2" x14ac:dyDescent="0.3">
      <c r="A56" s="28" t="s">
        <v>1488</v>
      </c>
      <c r="B56" s="28">
        <v>37.770000000000003</v>
      </c>
    </row>
    <row r="57" spans="1:2" x14ac:dyDescent="0.3">
      <c r="A57" s="28" t="s">
        <v>1489</v>
      </c>
      <c r="B57" s="28">
        <v>63.84</v>
      </c>
    </row>
    <row r="58" spans="1:2" x14ac:dyDescent="0.3">
      <c r="A58" s="28" t="s">
        <v>1490</v>
      </c>
      <c r="B58" s="28">
        <v>6.66</v>
      </c>
    </row>
    <row r="59" spans="1:2" x14ac:dyDescent="0.3">
      <c r="A59" s="28" t="s">
        <v>1491</v>
      </c>
      <c r="B59" s="28">
        <v>1.08</v>
      </c>
    </row>
    <row r="60" spans="1:2" x14ac:dyDescent="0.3">
      <c r="A60" s="28" t="s">
        <v>1492</v>
      </c>
      <c r="B60" s="28">
        <v>33.47</v>
      </c>
    </row>
    <row r="61" spans="1:2" x14ac:dyDescent="0.3">
      <c r="A61" s="28" t="s">
        <v>1493</v>
      </c>
      <c r="B61" s="28">
        <v>39.869999999999997</v>
      </c>
    </row>
    <row r="62" spans="1:2" x14ac:dyDescent="0.3">
      <c r="A62" s="28" t="s">
        <v>1494</v>
      </c>
      <c r="B62" s="28">
        <v>43.78</v>
      </c>
    </row>
    <row r="63" spans="1:2" x14ac:dyDescent="0.3">
      <c r="A63" s="28" t="s">
        <v>1495</v>
      </c>
      <c r="B63" s="28">
        <v>10.77</v>
      </c>
    </row>
    <row r="64" spans="1:2" x14ac:dyDescent="0.3">
      <c r="A64" s="28" t="s">
        <v>1496</v>
      </c>
      <c r="B64" s="28">
        <v>1.43</v>
      </c>
    </row>
    <row r="65" spans="1:2" x14ac:dyDescent="0.3">
      <c r="A65" s="28" t="s">
        <v>1497</v>
      </c>
      <c r="B65" s="28">
        <v>38.409999999999997</v>
      </c>
    </row>
    <row r="66" spans="1:2" x14ac:dyDescent="0.3">
      <c r="A66" s="28" t="s">
        <v>1498</v>
      </c>
      <c r="B66" s="28">
        <v>49.23</v>
      </c>
    </row>
    <row r="67" spans="1:2" x14ac:dyDescent="0.3">
      <c r="A67" s="28" t="s">
        <v>1499</v>
      </c>
      <c r="B67" s="28">
        <v>56.48</v>
      </c>
    </row>
    <row r="68" spans="1:2" x14ac:dyDescent="0.3">
      <c r="A68" s="28" t="s">
        <v>1500</v>
      </c>
      <c r="B68" s="28">
        <v>7.01</v>
      </c>
    </row>
    <row r="69" spans="1:2" x14ac:dyDescent="0.3">
      <c r="A69" s="28" t="s">
        <v>1501</v>
      </c>
      <c r="B69" s="28">
        <v>1.44</v>
      </c>
    </row>
    <row r="70" spans="1:2" x14ac:dyDescent="0.3">
      <c r="A70" s="28" t="s">
        <v>1502</v>
      </c>
      <c r="B70" s="28">
        <v>26.69</v>
      </c>
    </row>
    <row r="71" spans="1:2" x14ac:dyDescent="0.3">
      <c r="A71" s="28" t="s">
        <v>1503</v>
      </c>
      <c r="B71" s="28">
        <v>32.01</v>
      </c>
    </row>
    <row r="72" spans="1:2" x14ac:dyDescent="0.3">
      <c r="A72" s="28" t="s">
        <v>1504</v>
      </c>
      <c r="B72" s="28">
        <v>36.03</v>
      </c>
    </row>
    <row r="73" spans="1:2" x14ac:dyDescent="0.3">
      <c r="A73" s="28" t="s">
        <v>1505</v>
      </c>
      <c r="B73" s="28">
        <v>20.83</v>
      </c>
    </row>
    <row r="74" spans="1:2" x14ac:dyDescent="0.3">
      <c r="A74" s="28" t="s">
        <v>1506</v>
      </c>
      <c r="B74" s="28">
        <v>25.51</v>
      </c>
    </row>
    <row r="75" spans="1:2" x14ac:dyDescent="0.3">
      <c r="A75" s="28" t="s">
        <v>1507</v>
      </c>
      <c r="B75" s="28">
        <v>64.260000000000005</v>
      </c>
    </row>
    <row r="76" spans="1:2" x14ac:dyDescent="0.3">
      <c r="A76" s="28" t="s">
        <v>1508</v>
      </c>
      <c r="B76" s="28">
        <v>38.19</v>
      </c>
    </row>
    <row r="77" spans="1:2" x14ac:dyDescent="0.3">
      <c r="A77" s="28" t="s">
        <v>1509</v>
      </c>
      <c r="B77" s="28">
        <v>20.83</v>
      </c>
    </row>
    <row r="78" spans="1:2" x14ac:dyDescent="0.3">
      <c r="A78" s="28" t="s">
        <v>1510</v>
      </c>
      <c r="B78" s="28">
        <v>25.51</v>
      </c>
    </row>
    <row r="79" spans="1:2" x14ac:dyDescent="0.3">
      <c r="A79" s="28" t="s">
        <v>1511</v>
      </c>
      <c r="B79" s="28">
        <v>38.19</v>
      </c>
    </row>
    <row r="80" spans="1:2" x14ac:dyDescent="0.3">
      <c r="A80" s="28" t="s">
        <v>1512</v>
      </c>
      <c r="B80" s="28">
        <v>20.83</v>
      </c>
    </row>
    <row r="81" spans="1:2" x14ac:dyDescent="0.3">
      <c r="A81" s="28" t="s">
        <v>1513</v>
      </c>
      <c r="B81" s="28">
        <v>25.51</v>
      </c>
    </row>
    <row r="82" spans="1:2" x14ac:dyDescent="0.3">
      <c r="A82" s="28" t="s">
        <v>1514</v>
      </c>
      <c r="B82" s="28">
        <v>38.19</v>
      </c>
    </row>
    <row r="83" spans="1:2" x14ac:dyDescent="0.3">
      <c r="A83" s="28" t="s">
        <v>1515</v>
      </c>
      <c r="B83" s="28">
        <v>20.83</v>
      </c>
    </row>
    <row r="84" spans="1:2" x14ac:dyDescent="0.3">
      <c r="A84" s="28" t="s">
        <v>1516</v>
      </c>
      <c r="B84" s="28">
        <v>25.51</v>
      </c>
    </row>
    <row r="85" spans="1:2" x14ac:dyDescent="0.3">
      <c r="A85" s="28" t="s">
        <v>1517</v>
      </c>
      <c r="B85" s="28">
        <v>38.19</v>
      </c>
    </row>
    <row r="86" spans="1:2" x14ac:dyDescent="0.3">
      <c r="A86" s="28" t="s">
        <v>1518</v>
      </c>
      <c r="B86" s="28">
        <v>6.9</v>
      </c>
    </row>
    <row r="87" spans="1:2" x14ac:dyDescent="0.3">
      <c r="A87" s="28" t="s">
        <v>1519</v>
      </c>
      <c r="B87" s="28">
        <v>19.899999999999999</v>
      </c>
    </row>
    <row r="88" spans="1:2" x14ac:dyDescent="0.3">
      <c r="A88" s="28" t="s">
        <v>1520</v>
      </c>
      <c r="B88" s="28">
        <v>19.899999999999999</v>
      </c>
    </row>
    <row r="89" spans="1:2" x14ac:dyDescent="0.3">
      <c r="A89" s="28" t="s">
        <v>1521</v>
      </c>
      <c r="B89" s="28">
        <v>76.069999999999993</v>
      </c>
    </row>
    <row r="90" spans="1:2" x14ac:dyDescent="0.3">
      <c r="A90" s="28" t="s">
        <v>1522</v>
      </c>
      <c r="B90" s="28">
        <v>82.37</v>
      </c>
    </row>
    <row r="91" spans="1:2" x14ac:dyDescent="0.3">
      <c r="A91" s="28" t="s">
        <v>1523</v>
      </c>
      <c r="B91" s="28">
        <v>76.069999999999993</v>
      </c>
    </row>
    <row r="92" spans="1:2" x14ac:dyDescent="0.3">
      <c r="A92" s="28" t="s">
        <v>1524</v>
      </c>
      <c r="B92" s="28">
        <v>76.069999999999993</v>
      </c>
    </row>
    <row r="93" spans="1:2" x14ac:dyDescent="0.3">
      <c r="A93" s="28" t="s">
        <v>1525</v>
      </c>
      <c r="B93" s="28">
        <v>76.78</v>
      </c>
    </row>
    <row r="94" spans="1:2" x14ac:dyDescent="0.3">
      <c r="A94" s="28" t="s">
        <v>1526</v>
      </c>
      <c r="B94" s="28">
        <v>51.39</v>
      </c>
    </row>
    <row r="95" spans="1:2" x14ac:dyDescent="0.3">
      <c r="A95" s="28" t="s">
        <v>1527</v>
      </c>
      <c r="B95" s="28">
        <v>55.04</v>
      </c>
    </row>
    <row r="96" spans="1:2" x14ac:dyDescent="0.3">
      <c r="A96" s="28" t="s">
        <v>1528</v>
      </c>
      <c r="B96" s="28">
        <v>81.48</v>
      </c>
    </row>
    <row r="97" spans="1:2" x14ac:dyDescent="0.3">
      <c r="A97" s="28" t="s">
        <v>1529</v>
      </c>
      <c r="B97" s="28">
        <v>47.76</v>
      </c>
    </row>
    <row r="98" spans="1:2" x14ac:dyDescent="0.3">
      <c r="A98" s="28" t="s">
        <v>1530</v>
      </c>
      <c r="B98" s="28">
        <v>51.39</v>
      </c>
    </row>
    <row r="99" spans="1:2" x14ac:dyDescent="0.3">
      <c r="A99" s="28" t="s">
        <v>1531</v>
      </c>
      <c r="B99" s="28">
        <v>51.39</v>
      </c>
    </row>
    <row r="100" spans="1:2" x14ac:dyDescent="0.3">
      <c r="A100" s="28" t="s">
        <v>1532</v>
      </c>
      <c r="B100" s="28">
        <v>59.33</v>
      </c>
    </row>
    <row r="101" spans="1:2" x14ac:dyDescent="0.3">
      <c r="A101" s="28" t="s">
        <v>1533</v>
      </c>
      <c r="B101" s="28">
        <v>90.59</v>
      </c>
    </row>
    <row r="102" spans="1:2" x14ac:dyDescent="0.3">
      <c r="A102" s="28" t="s">
        <v>1534</v>
      </c>
      <c r="B102" s="28">
        <v>96.37</v>
      </c>
    </row>
    <row r="103" spans="1:2" x14ac:dyDescent="0.3">
      <c r="A103" s="28" t="s">
        <v>1535</v>
      </c>
      <c r="B103" s="28">
        <v>88.76</v>
      </c>
    </row>
    <row r="104" spans="1:2" x14ac:dyDescent="0.3">
      <c r="A104" s="28" t="s">
        <v>1536</v>
      </c>
      <c r="B104" s="28">
        <v>55.39</v>
      </c>
    </row>
    <row r="105" spans="1:2" x14ac:dyDescent="0.3">
      <c r="A105" s="28" t="s">
        <v>1537</v>
      </c>
      <c r="B105" s="28">
        <v>100.7</v>
      </c>
    </row>
    <row r="106" spans="1:2" x14ac:dyDescent="0.3">
      <c r="A106" s="28" t="s">
        <v>1538</v>
      </c>
      <c r="B106" s="28">
        <v>123.79</v>
      </c>
    </row>
    <row r="107" spans="1:2" x14ac:dyDescent="0.3">
      <c r="A107" s="28" t="s">
        <v>1539</v>
      </c>
      <c r="B107" s="28">
        <v>84.09</v>
      </c>
    </row>
    <row r="108" spans="1:2" x14ac:dyDescent="0.3">
      <c r="A108" s="28" t="s">
        <v>1540</v>
      </c>
      <c r="B108" s="28">
        <v>107.18</v>
      </c>
    </row>
    <row r="109" spans="1:2" x14ac:dyDescent="0.3">
      <c r="A109" s="28" t="s">
        <v>1541</v>
      </c>
      <c r="B109" s="28">
        <v>55.39</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dimension ref="A1:A3"/>
  <sheetViews>
    <sheetView workbookViewId="0">
      <selection activeCell="A2" sqref="A2:A3"/>
    </sheetView>
  </sheetViews>
  <sheetFormatPr defaultRowHeight="14.4" x14ac:dyDescent="0.3"/>
  <sheetData>
    <row r="1" spans="1:1" x14ac:dyDescent="0.25">
      <c r="A1" t="s">
        <v>1632</v>
      </c>
    </row>
    <row r="2" spans="1:1" x14ac:dyDescent="0.25">
      <c r="A2" t="s">
        <v>1278</v>
      </c>
    </row>
    <row r="3" spans="1:1" x14ac:dyDescent="0.25">
      <c r="A3" t="s">
        <v>1148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dimension ref="A1:E56"/>
  <sheetViews>
    <sheetView zoomScale="130" zoomScaleNormal="130" workbookViewId="0">
      <selection activeCell="A3" sqref="A3:A4"/>
    </sheetView>
  </sheetViews>
  <sheetFormatPr defaultColWidth="9.33203125" defaultRowHeight="14.4" x14ac:dyDescent="0.3"/>
  <cols>
    <col min="1" max="1" width="108.6640625" style="120" customWidth="1"/>
    <col min="2" max="5" width="12.6640625" style="120" customWidth="1"/>
    <col min="6" max="16384" width="9.33203125" style="120"/>
  </cols>
  <sheetData>
    <row r="1" spans="1:1" ht="16.5" x14ac:dyDescent="0.25">
      <c r="A1" s="367" t="s">
        <v>3421</v>
      </c>
    </row>
    <row r="2" spans="1:1" ht="43.2" x14ac:dyDescent="0.3">
      <c r="A2" s="368" t="s">
        <v>3422</v>
      </c>
    </row>
    <row r="3" spans="1:1" x14ac:dyDescent="0.3">
      <c r="A3" s="368" t="s">
        <v>3423</v>
      </c>
    </row>
    <row r="4" spans="1:1" x14ac:dyDescent="0.3">
      <c r="A4" s="368" t="s">
        <v>3424</v>
      </c>
    </row>
    <row r="5" spans="1:1" x14ac:dyDescent="0.3">
      <c r="A5" s="368" t="s">
        <v>3425</v>
      </c>
    </row>
    <row r="6" spans="1:1" ht="28.8" x14ac:dyDescent="0.3">
      <c r="A6" s="368" t="s">
        <v>3426</v>
      </c>
    </row>
    <row r="7" spans="1:1" ht="28.8" x14ac:dyDescent="0.3">
      <c r="A7" s="368" t="s">
        <v>3427</v>
      </c>
    </row>
    <row r="8" spans="1:1" ht="28.8" x14ac:dyDescent="0.3">
      <c r="A8" s="368" t="s">
        <v>3428</v>
      </c>
    </row>
    <row r="9" spans="1:1" x14ac:dyDescent="0.3">
      <c r="A9" s="368" t="s">
        <v>3429</v>
      </c>
    </row>
    <row r="10" spans="1:1" ht="28.8" x14ac:dyDescent="0.3">
      <c r="A10" s="368" t="s">
        <v>3430</v>
      </c>
    </row>
    <row r="11" spans="1:1" ht="28.8" x14ac:dyDescent="0.3">
      <c r="A11" s="368" t="s">
        <v>3431</v>
      </c>
    </row>
    <row r="12" spans="1:1" x14ac:dyDescent="0.3">
      <c r="A12" s="368" t="s">
        <v>3432</v>
      </c>
    </row>
    <row r="13" spans="1:1" x14ac:dyDescent="0.3">
      <c r="A13" s="368" t="s">
        <v>3433</v>
      </c>
    </row>
    <row r="14" spans="1:1" ht="28.8" x14ac:dyDescent="0.3">
      <c r="A14" s="368" t="s">
        <v>3434</v>
      </c>
    </row>
    <row r="15" spans="1:1" x14ac:dyDescent="0.3">
      <c r="A15" s="368" t="s">
        <v>3435</v>
      </c>
    </row>
    <row r="16" spans="1:1" x14ac:dyDescent="0.3">
      <c r="A16" s="368" t="s">
        <v>3436</v>
      </c>
    </row>
    <row r="17" spans="1:1" x14ac:dyDescent="0.3">
      <c r="A17" s="368" t="s">
        <v>3437</v>
      </c>
    </row>
    <row r="18" spans="1:1" x14ac:dyDescent="0.3">
      <c r="A18" s="368" t="s">
        <v>3438</v>
      </c>
    </row>
    <row r="19" spans="1:1" ht="28.8" x14ac:dyDescent="0.3">
      <c r="A19" s="368" t="s">
        <v>3439</v>
      </c>
    </row>
    <row r="20" spans="1:1" x14ac:dyDescent="0.3">
      <c r="A20" s="368"/>
    </row>
    <row r="21" spans="1:1" ht="16.8" x14ac:dyDescent="0.3">
      <c r="A21" s="367" t="s">
        <v>3440</v>
      </c>
    </row>
    <row r="22" spans="1:1" ht="28.8" x14ac:dyDescent="0.3">
      <c r="A22" s="368" t="s">
        <v>3441</v>
      </c>
    </row>
    <row r="23" spans="1:1" x14ac:dyDescent="0.3">
      <c r="A23" s="369" t="s">
        <v>3442</v>
      </c>
    </row>
    <row r="24" spans="1:1" x14ac:dyDescent="0.3">
      <c r="A24" s="369" t="s">
        <v>3443</v>
      </c>
    </row>
    <row r="25" spans="1:1" x14ac:dyDescent="0.3">
      <c r="A25" s="369" t="s">
        <v>3444</v>
      </c>
    </row>
    <row r="26" spans="1:1" ht="28.8" x14ac:dyDescent="0.3">
      <c r="A26" s="368" t="s">
        <v>3445</v>
      </c>
    </row>
    <row r="27" spans="1:1" x14ac:dyDescent="0.3">
      <c r="A27" s="369" t="s">
        <v>3446</v>
      </c>
    </row>
    <row r="28" spans="1:1" ht="28.8" x14ac:dyDescent="0.3">
      <c r="A28" s="369" t="s">
        <v>3447</v>
      </c>
    </row>
    <row r="29" spans="1:1" ht="28.8" x14ac:dyDescent="0.3">
      <c r="A29" s="369" t="s">
        <v>3448</v>
      </c>
    </row>
    <row r="30" spans="1:1" ht="43.2" x14ac:dyDescent="0.3">
      <c r="A30" s="368" t="s">
        <v>3449</v>
      </c>
    </row>
    <row r="31" spans="1:1" ht="28.8" x14ac:dyDescent="0.3">
      <c r="A31" s="369" t="s">
        <v>3450</v>
      </c>
    </row>
    <row r="32" spans="1:1" ht="28.8" x14ac:dyDescent="0.3">
      <c r="A32" s="369" t="s">
        <v>3451</v>
      </c>
    </row>
    <row r="33" spans="1:5" ht="28.8" x14ac:dyDescent="0.3">
      <c r="A33" s="369" t="s">
        <v>3452</v>
      </c>
    </row>
    <row r="34" spans="1:5" ht="28.8" x14ac:dyDescent="0.3">
      <c r="A34" s="368" t="s">
        <v>3453</v>
      </c>
    </row>
    <row r="35" spans="1:5" ht="28.8" x14ac:dyDescent="0.3">
      <c r="A35" s="368" t="s">
        <v>3454</v>
      </c>
    </row>
    <row r="36" spans="1:5" ht="30" x14ac:dyDescent="0.3">
      <c r="A36" s="370" t="s">
        <v>3455</v>
      </c>
    </row>
    <row r="37" spans="1:5" ht="28.8" x14ac:dyDescent="0.3">
      <c r="A37" s="368" t="s">
        <v>3521</v>
      </c>
    </row>
    <row r="38" spans="1:5" ht="28.8" x14ac:dyDescent="0.3">
      <c r="A38" s="368" t="s">
        <v>3456</v>
      </c>
    </row>
    <row r="41" spans="1:5" ht="17.399999999999999" thickBot="1" x14ac:dyDescent="0.35">
      <c r="A41" s="367" t="s">
        <v>3457</v>
      </c>
    </row>
    <row r="42" spans="1:5" ht="42" thickBot="1" x14ac:dyDescent="0.35">
      <c r="A42" s="371" t="s">
        <v>3458</v>
      </c>
      <c r="B42" s="371" t="s">
        <v>3459</v>
      </c>
      <c r="C42" s="371" t="s">
        <v>3460</v>
      </c>
      <c r="D42" s="371" t="s">
        <v>3461</v>
      </c>
      <c r="E42" s="371" t="s">
        <v>3462</v>
      </c>
    </row>
    <row r="43" spans="1:5" ht="42" thickBot="1" x14ac:dyDescent="0.35">
      <c r="A43" s="372" t="s">
        <v>3463</v>
      </c>
      <c r="B43" s="372" t="s">
        <v>3464</v>
      </c>
      <c r="C43" s="372" t="s">
        <v>3464</v>
      </c>
      <c r="D43" s="372" t="s">
        <v>3465</v>
      </c>
      <c r="E43" s="372" t="s">
        <v>3466</v>
      </c>
    </row>
    <row r="44" spans="1:5" ht="42" thickBot="1" x14ac:dyDescent="0.35">
      <c r="A44" s="372" t="s">
        <v>3463</v>
      </c>
      <c r="B44" s="372" t="s">
        <v>3464</v>
      </c>
      <c r="C44" s="372" t="s">
        <v>3464</v>
      </c>
      <c r="D44" s="372" t="s">
        <v>3467</v>
      </c>
      <c r="E44" s="372" t="s">
        <v>3466</v>
      </c>
    </row>
    <row r="45" spans="1:5" ht="97.2" thickBot="1" x14ac:dyDescent="0.35">
      <c r="A45" s="372" t="s">
        <v>3463</v>
      </c>
      <c r="B45" s="372" t="s">
        <v>3464</v>
      </c>
      <c r="C45" s="372" t="s">
        <v>3464</v>
      </c>
      <c r="D45" s="372" t="s">
        <v>3468</v>
      </c>
      <c r="E45" s="372" t="s">
        <v>3466</v>
      </c>
    </row>
    <row r="46" spans="1:5" ht="28.2" thickBot="1" x14ac:dyDescent="0.35">
      <c r="A46" s="372" t="s">
        <v>3463</v>
      </c>
      <c r="B46" s="372" t="s">
        <v>3464</v>
      </c>
      <c r="C46" s="372" t="s">
        <v>3464</v>
      </c>
      <c r="D46" s="372" t="s">
        <v>3469</v>
      </c>
      <c r="E46" s="372" t="s">
        <v>3466</v>
      </c>
    </row>
    <row r="47" spans="1:5" ht="42" thickBot="1" x14ac:dyDescent="0.35">
      <c r="A47" s="372" t="s">
        <v>3470</v>
      </c>
      <c r="B47" s="372" t="s">
        <v>3471</v>
      </c>
      <c r="C47" s="372" t="s">
        <v>3472</v>
      </c>
      <c r="D47" s="372" t="s">
        <v>3473</v>
      </c>
      <c r="E47" s="372" t="s">
        <v>3474</v>
      </c>
    </row>
    <row r="48" spans="1:5" ht="42" thickBot="1" x14ac:dyDescent="0.35">
      <c r="A48" s="372" t="s">
        <v>3470</v>
      </c>
      <c r="B48" s="372" t="s">
        <v>3471</v>
      </c>
      <c r="C48" s="372" t="s">
        <v>3472</v>
      </c>
      <c r="D48" s="372" t="s">
        <v>3475</v>
      </c>
      <c r="E48" s="372" t="s">
        <v>3474</v>
      </c>
    </row>
    <row r="49" spans="1:5" ht="55.8" thickBot="1" x14ac:dyDescent="0.35">
      <c r="A49" s="372" t="s">
        <v>3476</v>
      </c>
      <c r="B49" s="372" t="s">
        <v>3477</v>
      </c>
      <c r="C49" s="372" t="s">
        <v>1811</v>
      </c>
      <c r="D49" s="372" t="s">
        <v>3478</v>
      </c>
      <c r="E49" s="372" t="s">
        <v>3479</v>
      </c>
    </row>
    <row r="50" spans="1:5" ht="42" thickBot="1" x14ac:dyDescent="0.35">
      <c r="A50" s="372" t="s">
        <v>1808</v>
      </c>
      <c r="B50" s="372" t="s">
        <v>3480</v>
      </c>
      <c r="C50" s="372" t="s">
        <v>1811</v>
      </c>
      <c r="D50" s="372" t="s">
        <v>3481</v>
      </c>
      <c r="E50" s="372" t="s">
        <v>3479</v>
      </c>
    </row>
    <row r="51" spans="1:5" ht="28.2" thickBot="1" x14ac:dyDescent="0.35">
      <c r="A51" s="372" t="s">
        <v>1809</v>
      </c>
      <c r="B51" s="372" t="s">
        <v>1809</v>
      </c>
      <c r="C51" s="372" t="s">
        <v>1811</v>
      </c>
      <c r="D51" s="372" t="s">
        <v>3482</v>
      </c>
      <c r="E51" s="372" t="s">
        <v>3479</v>
      </c>
    </row>
    <row r="52" spans="1:5" ht="42" thickBot="1" x14ac:dyDescent="0.35">
      <c r="A52" s="372" t="s">
        <v>3483</v>
      </c>
      <c r="B52" s="372" t="s">
        <v>3484</v>
      </c>
      <c r="C52" s="372" t="s">
        <v>1811</v>
      </c>
      <c r="D52" s="372" t="s">
        <v>3485</v>
      </c>
      <c r="E52" s="372" t="s">
        <v>3479</v>
      </c>
    </row>
    <row r="53" spans="1:5" ht="28.2" thickBot="1" x14ac:dyDescent="0.35">
      <c r="A53" s="372" t="s">
        <v>3486</v>
      </c>
      <c r="B53" s="372" t="s">
        <v>1811</v>
      </c>
      <c r="C53" s="372" t="s">
        <v>1811</v>
      </c>
      <c r="D53" s="372" t="s">
        <v>3487</v>
      </c>
      <c r="E53" s="372" t="s">
        <v>3479</v>
      </c>
    </row>
    <row r="54" spans="1:5" ht="69.599999999999994" thickBot="1" x14ac:dyDescent="0.35">
      <c r="A54" s="372" t="s">
        <v>3488</v>
      </c>
      <c r="B54" s="372" t="s">
        <v>3489</v>
      </c>
      <c r="C54" s="372" t="s">
        <v>1811</v>
      </c>
      <c r="D54" s="372" t="s">
        <v>3490</v>
      </c>
      <c r="E54" s="372" t="s">
        <v>3479</v>
      </c>
    </row>
    <row r="55" spans="1:5" x14ac:dyDescent="0.3">
      <c r="A55" s="373"/>
    </row>
    <row r="56" spans="1:5" ht="28.8" x14ac:dyDescent="0.3">
      <c r="A56" s="368" t="s">
        <v>3491</v>
      </c>
    </row>
  </sheetData>
  <sheetProtection password="CF05" sheet="1" objects="1" scenarios="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
  <dimension ref="A1"/>
  <sheetViews>
    <sheetView workbookViewId="0"/>
  </sheetViews>
  <sheetFormatPr defaultRowHeight="14.4" x14ac:dyDescent="0.3"/>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9"/>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rgb="FFCC0066"/>
    <pageSetUpPr fitToPage="1"/>
  </sheetPr>
  <dimension ref="A1:FJ602"/>
  <sheetViews>
    <sheetView tabSelected="1" zoomScale="85" zoomScaleNormal="85" workbookViewId="0">
      <selection activeCell="D3" sqref="D3"/>
    </sheetView>
  </sheetViews>
  <sheetFormatPr defaultColWidth="0" defaultRowHeight="0" customHeight="1" zeroHeight="1" x14ac:dyDescent="0.35"/>
  <cols>
    <col min="1" max="1" width="3.6640625" style="284" customWidth="1"/>
    <col min="2" max="2" width="17.33203125" style="291" customWidth="1"/>
    <col min="3" max="3" width="3.6640625" style="291" customWidth="1"/>
    <col min="4" max="4" width="39.5546875" style="291" customWidth="1"/>
    <col min="5" max="5" width="23.33203125" style="291" customWidth="1"/>
    <col min="6" max="6" width="11.33203125" style="291" customWidth="1"/>
    <col min="7" max="7" width="15.33203125" style="291" customWidth="1"/>
    <col min="8" max="8" width="16.6640625" style="291" customWidth="1"/>
    <col min="9" max="9" width="14.6640625" style="291" customWidth="1"/>
    <col min="10" max="10" width="2.6640625" style="291" customWidth="1"/>
    <col min="11" max="11" width="9.33203125" style="291" customWidth="1"/>
    <col min="12" max="12" width="6.6640625" style="113" customWidth="1"/>
    <col min="13" max="13" width="19" style="113" customWidth="1"/>
    <col min="14" max="14" width="16.33203125" style="113" customWidth="1"/>
    <col min="15" max="15" width="13.6640625" style="113" customWidth="1"/>
    <col min="16" max="16" width="10" style="113" customWidth="1"/>
    <col min="17" max="17" width="12.5546875" style="113" customWidth="1"/>
    <col min="18" max="18" width="32.33203125" style="113" customWidth="1"/>
    <col min="19" max="19" width="4.5546875" style="113" customWidth="1"/>
    <col min="20" max="20" width="15.33203125" style="135" hidden="1" customWidth="1"/>
    <col min="21" max="21" width="53.5546875" style="135" hidden="1" customWidth="1"/>
    <col min="22" max="23" width="38.33203125" style="135" hidden="1" customWidth="1"/>
    <col min="24" max="24" width="14.5546875" style="135" hidden="1" customWidth="1"/>
    <col min="25" max="25" width="32.6640625" style="135" hidden="1" customWidth="1"/>
    <col min="26" max="27" width="9.33203125" style="135" hidden="1" customWidth="1"/>
    <col min="28" max="28" width="19.5546875" style="135" hidden="1" customWidth="1"/>
    <col min="29" max="29" width="43.6640625" style="135" hidden="1" customWidth="1"/>
    <col min="30" max="30" width="53.5546875" style="135" hidden="1" customWidth="1"/>
    <col min="31" max="33" width="65.5546875" style="135" hidden="1" customWidth="1"/>
    <col min="34" max="34" width="45.44140625" style="135" hidden="1" customWidth="1"/>
    <col min="35" max="37" width="57" style="135" hidden="1" customWidth="1"/>
    <col min="38" max="38" width="56.6640625" style="135" hidden="1" customWidth="1"/>
    <col min="39" max="39" width="46.44140625" style="135" hidden="1" customWidth="1"/>
    <col min="40" max="40" width="24.44140625" style="135" hidden="1" customWidth="1"/>
    <col min="41" max="42" width="9.33203125" style="135" hidden="1" customWidth="1"/>
    <col min="43" max="43" width="21.5546875" style="135" hidden="1" customWidth="1"/>
    <col min="44" max="44" width="15.6640625" style="135" hidden="1" customWidth="1"/>
    <col min="45" max="45" width="9.33203125" style="135" hidden="1" customWidth="1"/>
    <col min="46" max="46" width="20.6640625" style="135" hidden="1" customWidth="1"/>
    <col min="47" max="47" width="9.33203125" style="135" hidden="1" customWidth="1"/>
    <col min="48" max="48" width="10.5546875" style="135" hidden="1" customWidth="1"/>
    <col min="49" max="49" width="21.33203125" style="135" hidden="1" customWidth="1"/>
    <col min="50" max="50" width="80.6640625" style="165" hidden="1" customWidth="1"/>
    <col min="51" max="51" width="23.6640625" style="135" hidden="1" customWidth="1"/>
    <col min="52" max="52" width="14.5546875" style="166" hidden="1" customWidth="1"/>
    <col min="53" max="53" width="12" style="135" hidden="1" customWidth="1"/>
    <col min="54" max="54" width="26.33203125" style="135" hidden="1" customWidth="1"/>
    <col min="55" max="55" width="12.33203125" style="135" hidden="1" customWidth="1"/>
    <col min="56" max="58" width="9.33203125" style="135" hidden="1" customWidth="1"/>
    <col min="59" max="59" width="12" style="135" hidden="1" customWidth="1"/>
    <col min="60" max="60" width="11.5546875" style="135" hidden="1" customWidth="1"/>
    <col min="61" max="61" width="11.33203125" style="135" hidden="1" customWidth="1"/>
    <col min="62" max="62" width="9.33203125" style="135" hidden="1" customWidth="1"/>
    <col min="63" max="63" width="27.33203125" style="167" hidden="1" customWidth="1"/>
    <col min="64" max="64" width="13.6640625" style="156" hidden="1" customWidth="1"/>
    <col min="65" max="65" width="29.44140625" style="135" hidden="1" customWidth="1"/>
    <col min="66" max="66" width="19.33203125" style="135" hidden="1" customWidth="1"/>
    <col min="67" max="67" width="32" style="135" hidden="1" customWidth="1"/>
    <col min="68" max="68" width="13.6640625" style="135" hidden="1" customWidth="1"/>
    <col min="69" max="69" width="15" style="135" hidden="1" customWidth="1"/>
    <col min="70" max="71" width="9.33203125" style="135" hidden="1" customWidth="1"/>
    <col min="72" max="72" width="15.5546875" style="135" hidden="1" customWidth="1"/>
    <col min="73" max="73" width="9.33203125" style="135" hidden="1" customWidth="1"/>
    <col min="74" max="74" width="18.6640625" style="135" hidden="1" customWidth="1"/>
    <col min="75" max="75" width="10.44140625" style="135" hidden="1" customWidth="1"/>
    <col min="76" max="77" width="9.33203125" style="135" hidden="1" customWidth="1"/>
    <col min="78" max="78" width="12.33203125" style="135" hidden="1" customWidth="1"/>
    <col min="79" max="84" width="9.33203125" style="135" hidden="1" customWidth="1"/>
    <col min="85" max="85" width="17" style="135" hidden="1" customWidth="1"/>
    <col min="86" max="103" width="9.33203125" style="135" hidden="1" customWidth="1"/>
    <col min="104" max="105" width="14.5546875" style="135" hidden="1" customWidth="1"/>
    <col min="106" max="110" width="9.33203125" style="135" hidden="1" customWidth="1"/>
    <col min="111" max="111" width="45" style="135" hidden="1" customWidth="1"/>
    <col min="112" max="112" width="18.5546875" style="135" hidden="1" customWidth="1"/>
    <col min="113" max="118" width="9.33203125" style="135" hidden="1" customWidth="1"/>
    <col min="119" max="123" width="44.33203125" style="135" hidden="1" customWidth="1"/>
    <col min="124" max="124" width="17.6640625" style="135" hidden="1" customWidth="1"/>
    <col min="125" max="127" width="9.33203125" style="135" hidden="1" customWidth="1"/>
    <col min="128" max="128" width="14.44140625" style="135" hidden="1" customWidth="1"/>
    <col min="129" max="130" width="9.33203125" style="135" hidden="1" customWidth="1"/>
    <col min="131" max="131" width="10.33203125" style="135" hidden="1" customWidth="1"/>
    <col min="132" max="144" width="9.33203125" style="135" hidden="1" customWidth="1"/>
    <col min="145" max="145" width="36.44140625" style="135" hidden="1" customWidth="1"/>
    <col min="146" max="146" width="14.33203125" style="135" hidden="1" customWidth="1"/>
    <col min="147" max="147" width="17.5546875" style="135" hidden="1" customWidth="1"/>
    <col min="148" max="149" width="9.33203125" style="135" hidden="1" customWidth="1"/>
    <col min="150" max="150" width="35" style="135" hidden="1" customWidth="1"/>
    <col min="151" max="154" width="9.33203125" style="135" hidden="1" customWidth="1"/>
    <col min="155" max="155" width="7.5546875" style="135" hidden="1" customWidth="1"/>
    <col min="156" max="162" width="35" style="135" hidden="1" customWidth="1"/>
    <col min="163" max="163" width="13.33203125" style="135" hidden="1" customWidth="1"/>
    <col min="164" max="164" width="14.6640625" style="135" hidden="1" customWidth="1"/>
    <col min="165" max="16384" width="9.33203125" style="135" hidden="1"/>
  </cols>
  <sheetData>
    <row r="1" spans="1:166" ht="19.5" thickBot="1" x14ac:dyDescent="0.35">
      <c r="A1" s="302"/>
      <c r="B1" s="302"/>
      <c r="C1" s="302"/>
      <c r="D1" s="302"/>
      <c r="E1" s="302"/>
      <c r="F1" s="302"/>
      <c r="G1" s="302"/>
      <c r="H1" s="463">
        <v>0.97</v>
      </c>
      <c r="I1" s="463"/>
      <c r="J1" s="302"/>
      <c r="K1" s="302"/>
      <c r="L1" s="302"/>
      <c r="M1" s="335" t="s">
        <v>3704</v>
      </c>
      <c r="N1" s="302"/>
      <c r="O1" s="302"/>
      <c r="P1" s="302"/>
      <c r="Q1" s="302"/>
      <c r="R1" s="302"/>
      <c r="S1" s="302"/>
      <c r="T1" s="134">
        <f ca="1">IF($I$33&gt;0,$M$6+$M$12+$T$19,$M$6+$M$12)</f>
        <v>0</v>
      </c>
      <c r="U1" s="156">
        <f>IFERROR(BQ10,0)</f>
        <v>0</v>
      </c>
      <c r="V1" s="333" t="e">
        <f>M8/M6</f>
        <v>#DIV/0!</v>
      </c>
      <c r="AZ1" s="166">
        <v>30.16</v>
      </c>
      <c r="DO1" s="142" t="e">
        <f>VLOOKUP(DP1,$DR$2:$DS$50,2,FALSE)</f>
        <v>#N/A</v>
      </c>
      <c r="DP1" s="135">
        <f>G10</f>
        <v>0</v>
      </c>
      <c r="DT1" s="135" t="s">
        <v>2741</v>
      </c>
      <c r="DU1" s="135" t="s">
        <v>1161</v>
      </c>
      <c r="DV1" s="135" t="s">
        <v>6</v>
      </c>
      <c r="DW1" s="135" t="s">
        <v>1809</v>
      </c>
      <c r="DX1" s="135" t="s">
        <v>2742</v>
      </c>
      <c r="DY1" s="135" t="s">
        <v>2743</v>
      </c>
      <c r="ED1" s="135">
        <f>G10</f>
        <v>0</v>
      </c>
      <c r="EE1" s="135">
        <f>IFERROR(VLOOKUP(ED1,DU2:DW83,3,0),0)</f>
        <v>0</v>
      </c>
      <c r="EF1" s="135">
        <f>IF(EE1="nee",1,2)</f>
        <v>2</v>
      </c>
      <c r="EG1" s="135">
        <f>IF(Q24="Meerzorg",3,4)</f>
        <v>4</v>
      </c>
      <c r="EH1" s="135">
        <f>SUM(EF1:EG1)</f>
        <v>6</v>
      </c>
      <c r="EI1" s="135" t="str">
        <f>IF(EH1=4,"Meerzorg is niet toegestaan bij dit ZZP tenzij client Wlz indiceerbaar is en recht op het vangnet heeft"," ")</f>
        <v xml:space="preserve"> </v>
      </c>
      <c r="EK1" s="135" t="s">
        <v>2759</v>
      </c>
      <c r="EN1" s="168" t="s">
        <v>2760</v>
      </c>
      <c r="EO1" s="168" t="s">
        <v>2762</v>
      </c>
      <c r="EP1" s="168" t="s">
        <v>47</v>
      </c>
      <c r="EQ1" s="168" t="s">
        <v>3360</v>
      </c>
      <c r="ER1" s="135" t="s">
        <v>3361</v>
      </c>
      <c r="ET1" s="135" t="s">
        <v>2804</v>
      </c>
      <c r="EU1" s="135" t="s">
        <v>2764</v>
      </c>
      <c r="EY1" s="135" t="s">
        <v>1161</v>
      </c>
      <c r="EZ1" s="135" t="s">
        <v>3322</v>
      </c>
      <c r="FC1" s="135" t="s">
        <v>3323</v>
      </c>
      <c r="FD1" s="135" t="s">
        <v>3324</v>
      </c>
      <c r="FI1" s="135" t="s">
        <v>3344</v>
      </c>
      <c r="FJ1" s="135" t="s">
        <v>3345</v>
      </c>
    </row>
    <row r="2" spans="1:166" ht="18.600000000000001" thickBot="1" x14ac:dyDescent="0.4">
      <c r="A2" s="302"/>
      <c r="B2" s="334" t="s">
        <v>1720</v>
      </c>
      <c r="C2" s="335"/>
      <c r="D2" s="336" t="s">
        <v>3341</v>
      </c>
      <c r="E2" s="312"/>
      <c r="F2" s="302"/>
      <c r="G2" s="302"/>
      <c r="H2" s="302"/>
      <c r="I2" s="302"/>
      <c r="J2" s="302"/>
      <c r="K2" s="302"/>
      <c r="L2" s="302"/>
      <c r="M2" s="302"/>
      <c r="N2" s="302"/>
      <c r="O2" s="302"/>
      <c r="P2" s="302"/>
      <c r="Q2" s="302"/>
      <c r="R2" s="302"/>
      <c r="S2" s="302"/>
      <c r="T2" s="511" t="s">
        <v>1573</v>
      </c>
      <c r="U2" s="512"/>
      <c r="V2" s="499" t="s">
        <v>1571</v>
      </c>
      <c r="W2" s="500"/>
      <c r="X2" s="500"/>
      <c r="Y2" s="500"/>
      <c r="Z2" s="500"/>
      <c r="AA2" s="501"/>
      <c r="AB2" s="508" t="s">
        <v>1572</v>
      </c>
      <c r="AC2" s="487" t="s">
        <v>1570</v>
      </c>
      <c r="AD2" s="488"/>
      <c r="AE2" s="488"/>
      <c r="AF2" s="488"/>
      <c r="AG2" s="488"/>
      <c r="AH2" s="488"/>
      <c r="AI2" s="488"/>
      <c r="AJ2" s="489"/>
      <c r="AK2" s="489"/>
      <c r="AL2" s="489"/>
      <c r="AM2" s="490"/>
      <c r="AN2" s="169" t="s">
        <v>1574</v>
      </c>
      <c r="AO2" s="170"/>
      <c r="AP2" s="170"/>
      <c r="AQ2" s="170"/>
      <c r="AR2" s="170"/>
      <c r="AS2" s="170"/>
      <c r="AT2" s="170"/>
      <c r="AU2" s="170"/>
      <c r="AV2" s="170"/>
      <c r="AW2" s="170"/>
      <c r="AX2" s="171" t="s">
        <v>1588</v>
      </c>
      <c r="AY2" s="172"/>
      <c r="AZ2" s="172"/>
      <c r="BA2" s="172"/>
      <c r="BB2" s="173" t="s">
        <v>1589</v>
      </c>
      <c r="BC2" s="173"/>
      <c r="BD2" s="478" t="s">
        <v>1599</v>
      </c>
      <c r="BE2" s="479"/>
      <c r="BF2" s="479"/>
      <c r="BG2" s="479"/>
      <c r="BH2" s="479"/>
      <c r="BI2" s="479"/>
      <c r="BJ2" s="479"/>
      <c r="BK2" s="174" t="s">
        <v>1600</v>
      </c>
      <c r="BL2" s="175"/>
      <c r="BM2" s="176" t="s">
        <v>1602</v>
      </c>
      <c r="BN2" s="177" t="s">
        <v>1604</v>
      </c>
      <c r="BO2" s="178" t="s">
        <v>1605</v>
      </c>
      <c r="BP2" s="178"/>
      <c r="BQ2" s="178">
        <f>IFERROR(VLOOKUP(Q23,BN12:BP14,3,FALSE),0)</f>
        <v>0</v>
      </c>
      <c r="BR2" s="179" t="s">
        <v>1432</v>
      </c>
      <c r="BS2" s="179"/>
      <c r="BT2" s="179"/>
      <c r="BU2" s="179"/>
      <c r="BV2" s="179" t="s">
        <v>1291</v>
      </c>
      <c r="BW2" s="179"/>
      <c r="BX2" s="179"/>
      <c r="BY2" s="180" t="s">
        <v>1613</v>
      </c>
      <c r="BZ2" s="170"/>
      <c r="CA2" s="170"/>
      <c r="CB2" s="170"/>
      <c r="CC2" s="170"/>
      <c r="CD2" s="170"/>
      <c r="CE2" s="170"/>
      <c r="CF2" s="170"/>
      <c r="CG2" s="170"/>
      <c r="CH2" s="170"/>
      <c r="CI2" s="135" t="s">
        <v>6</v>
      </c>
      <c r="CL2" s="135" t="s">
        <v>1623</v>
      </c>
      <c r="CY2" s="135" t="s">
        <v>1625</v>
      </c>
      <c r="DR2" s="135" t="s">
        <v>2648</v>
      </c>
      <c r="DS2" s="135" t="s">
        <v>2688</v>
      </c>
      <c r="DT2" s="135" t="str">
        <f>IF(D42="meerzorg","ja","nee")</f>
        <v>nee</v>
      </c>
      <c r="DU2" s="181" t="s">
        <v>1263</v>
      </c>
      <c r="DV2" s="182" t="s">
        <v>1278</v>
      </c>
      <c r="DW2" s="135" t="s">
        <v>1598</v>
      </c>
      <c r="DX2" s="135">
        <v>0</v>
      </c>
      <c r="DY2" s="135">
        <v>10</v>
      </c>
      <c r="EK2" s="135" t="s">
        <v>2760</v>
      </c>
      <c r="EN2" s="183" t="s">
        <v>1542</v>
      </c>
      <c r="EO2" s="183" t="s">
        <v>1542</v>
      </c>
      <c r="EP2" s="184" t="s">
        <v>2994</v>
      </c>
      <c r="EQ2" s="168" t="s">
        <v>2763</v>
      </c>
      <c r="ER2" s="135" t="s">
        <v>2763</v>
      </c>
      <c r="ET2" s="135" t="s">
        <v>2805</v>
      </c>
      <c r="EU2" s="135" t="s">
        <v>2765</v>
      </c>
      <c r="EY2" s="135" t="s">
        <v>2656</v>
      </c>
      <c r="EZ2" s="135" t="s">
        <v>2804</v>
      </c>
      <c r="FA2" s="135" t="s">
        <v>3360</v>
      </c>
      <c r="FB2" s="135" t="str">
        <f t="shared" ref="FB2:FB7" si="0">CONCATENATE(EY2,FA2)</f>
        <v>1vvOpname</v>
      </c>
      <c r="FC2" s="156">
        <f>VLOOKUP(EZ2,'Tarieven ZZP'!$D$6:$J$134,7,FALSE)</f>
        <v>99.87</v>
      </c>
      <c r="FD2" s="156">
        <f>FC2*7</f>
        <v>699.09</v>
      </c>
      <c r="FI2" s="181" t="s">
        <v>1263</v>
      </c>
      <c r="FJ2" s="135">
        <v>2</v>
      </c>
    </row>
    <row r="3" spans="1:166" ht="18.600000000000001" thickBot="1" x14ac:dyDescent="0.4">
      <c r="A3" s="302"/>
      <c r="B3" s="334" t="s">
        <v>1719</v>
      </c>
      <c r="C3" s="335"/>
      <c r="D3" s="337" t="s">
        <v>2696</v>
      </c>
      <c r="E3" s="312"/>
      <c r="F3" s="302"/>
      <c r="G3" s="302"/>
      <c r="H3" s="302"/>
      <c r="I3" s="302"/>
      <c r="J3" s="302"/>
      <c r="K3" s="314"/>
      <c r="L3" s="302"/>
      <c r="M3" s="302"/>
      <c r="N3" s="302"/>
      <c r="O3" s="302"/>
      <c r="P3" s="302"/>
      <c r="Q3" s="302"/>
      <c r="R3" s="302"/>
      <c r="S3" s="302"/>
      <c r="T3" s="513"/>
      <c r="U3" s="514"/>
      <c r="V3" s="502"/>
      <c r="W3" s="503"/>
      <c r="X3" s="503"/>
      <c r="Y3" s="503"/>
      <c r="Z3" s="503"/>
      <c r="AA3" s="504"/>
      <c r="AB3" s="509"/>
      <c r="AC3" s="491"/>
      <c r="AD3" s="492"/>
      <c r="AE3" s="492"/>
      <c r="AF3" s="492"/>
      <c r="AG3" s="492"/>
      <c r="AH3" s="492"/>
      <c r="AI3" s="492"/>
      <c r="AJ3" s="493"/>
      <c r="AK3" s="493"/>
      <c r="AL3" s="493"/>
      <c r="AM3" s="494"/>
      <c r="AN3" s="185"/>
      <c r="AO3" s="170"/>
      <c r="AP3" s="170"/>
      <c r="AQ3" s="170"/>
      <c r="AR3" s="170"/>
      <c r="AS3" s="170"/>
      <c r="AT3" s="170"/>
      <c r="AU3" s="170"/>
      <c r="AV3" s="170"/>
      <c r="AW3" s="170"/>
      <c r="AX3" s="171"/>
      <c r="AY3" s="172"/>
      <c r="AZ3" s="172"/>
      <c r="BA3" s="172"/>
      <c r="BB3" s="173"/>
      <c r="BC3" s="173"/>
      <c r="BD3" s="186"/>
      <c r="BE3" s="187"/>
      <c r="BF3" s="187"/>
      <c r="BG3" s="187"/>
      <c r="BH3" s="187"/>
      <c r="BI3" s="187"/>
      <c r="BJ3" s="187"/>
      <c r="BK3" s="174"/>
      <c r="BL3" s="175"/>
      <c r="BM3" s="176"/>
      <c r="BN3" s="177"/>
      <c r="BO3" s="178"/>
      <c r="BP3" s="178"/>
      <c r="BQ3" s="178"/>
      <c r="BR3" s="179"/>
      <c r="BS3" s="179"/>
      <c r="BT3" s="179"/>
      <c r="BU3" s="179"/>
      <c r="BV3" s="179"/>
      <c r="BW3" s="179"/>
      <c r="BX3" s="179"/>
      <c r="BY3" s="188"/>
      <c r="BZ3" s="170"/>
      <c r="CA3" s="170"/>
      <c r="CB3" s="170"/>
      <c r="CC3" s="170"/>
      <c r="CD3" s="170"/>
      <c r="CE3" s="170"/>
      <c r="CF3" s="170"/>
      <c r="CG3" s="170"/>
      <c r="CH3" s="170"/>
      <c r="DU3" s="181"/>
      <c r="DV3" s="182"/>
      <c r="EK3" s="135" t="s">
        <v>47</v>
      </c>
      <c r="EN3" s="189" t="s">
        <v>1253</v>
      </c>
      <c r="EO3" s="189" t="s">
        <v>1253</v>
      </c>
      <c r="EP3" s="168" t="s">
        <v>6</v>
      </c>
      <c r="EQ3" s="168" t="s">
        <v>6</v>
      </c>
      <c r="ER3" s="135" t="s">
        <v>3347</v>
      </c>
      <c r="ET3" s="135" t="s">
        <v>2806</v>
      </c>
      <c r="EU3" s="135" t="s">
        <v>2766</v>
      </c>
      <c r="EY3" s="135" t="s">
        <v>2658</v>
      </c>
      <c r="EZ3" s="135" t="s">
        <v>2805</v>
      </c>
      <c r="FA3" s="135" t="s">
        <v>3360</v>
      </c>
      <c r="FB3" s="135" t="str">
        <f t="shared" si="0"/>
        <v>2vvOpname</v>
      </c>
      <c r="FC3" s="156">
        <f>VLOOKUP(EZ3,'Tarieven ZZP'!$D$6:$J$134,7,FALSE)</f>
        <v>128.08000000000001</v>
      </c>
      <c r="FD3" s="156">
        <f t="shared" ref="FD3:FD42" si="1">FC3*7</f>
        <v>896.56000000000006</v>
      </c>
      <c r="FI3" s="181" t="s">
        <v>1265</v>
      </c>
      <c r="FJ3" s="135">
        <v>2</v>
      </c>
    </row>
    <row r="4" spans="1:166" ht="18.600000000000001" thickBot="1" x14ac:dyDescent="0.4">
      <c r="A4" s="302"/>
      <c r="B4" s="334" t="s">
        <v>3359</v>
      </c>
      <c r="C4" s="335"/>
      <c r="D4" s="338" t="s">
        <v>3537</v>
      </c>
      <c r="E4" s="312"/>
      <c r="F4" s="302"/>
      <c r="G4" s="302"/>
      <c r="H4" s="302"/>
      <c r="I4" s="302"/>
      <c r="J4" s="302"/>
      <c r="K4" s="302"/>
      <c r="L4" s="302"/>
      <c r="M4" s="302"/>
      <c r="N4" s="284"/>
      <c r="O4" s="302"/>
      <c r="P4" s="302"/>
      <c r="Q4" s="302"/>
      <c r="R4" s="302"/>
      <c r="S4" s="302"/>
      <c r="T4" s="513"/>
      <c r="U4" s="514"/>
      <c r="V4" s="502"/>
      <c r="W4" s="503"/>
      <c r="X4" s="503"/>
      <c r="Y4" s="503"/>
      <c r="Z4" s="503"/>
      <c r="AA4" s="504"/>
      <c r="AB4" s="509"/>
      <c r="AC4" s="491"/>
      <c r="AD4" s="492"/>
      <c r="AE4" s="492"/>
      <c r="AF4" s="492"/>
      <c r="AG4" s="492"/>
      <c r="AH4" s="492"/>
      <c r="AI4" s="492"/>
      <c r="AJ4" s="493"/>
      <c r="AK4" s="493"/>
      <c r="AL4" s="493"/>
      <c r="AM4" s="494"/>
      <c r="AN4" s="185"/>
      <c r="AO4" s="170"/>
      <c r="AP4" s="170"/>
      <c r="AQ4" s="170"/>
      <c r="AR4" s="170"/>
      <c r="AS4" s="170"/>
      <c r="AT4" s="170"/>
      <c r="AU4" s="170"/>
      <c r="AV4" s="170"/>
      <c r="AW4" s="170"/>
      <c r="AX4" s="171"/>
      <c r="AY4" s="172"/>
      <c r="AZ4" s="172"/>
      <c r="BA4" s="172"/>
      <c r="BB4" s="173"/>
      <c r="BC4" s="173"/>
      <c r="BD4" s="186"/>
      <c r="BE4" s="187"/>
      <c r="BF4" s="187"/>
      <c r="BG4" s="187"/>
      <c r="BH4" s="187"/>
      <c r="BI4" s="187"/>
      <c r="BJ4" s="187"/>
      <c r="BK4" s="174"/>
      <c r="BL4" s="175"/>
      <c r="BM4" s="176"/>
      <c r="BN4" s="177"/>
      <c r="BO4" s="178"/>
      <c r="BP4" s="178"/>
      <c r="BQ4" s="178"/>
      <c r="BR4" s="179"/>
      <c r="BS4" s="179"/>
      <c r="BT4" s="179"/>
      <c r="BU4" s="179"/>
      <c r="BV4" s="179"/>
      <c r="BW4" s="179"/>
      <c r="BX4" s="179"/>
      <c r="BY4" s="188"/>
      <c r="BZ4" s="170"/>
      <c r="CA4" s="170"/>
      <c r="CB4" s="170"/>
      <c r="CC4" s="170"/>
      <c r="CD4" s="170"/>
      <c r="CE4" s="170"/>
      <c r="CF4" s="170"/>
      <c r="CG4" s="170"/>
      <c r="CH4" s="170"/>
      <c r="DU4" s="181"/>
      <c r="DV4" s="182"/>
      <c r="EK4" s="135" t="s">
        <v>3360</v>
      </c>
      <c r="EN4" s="189" t="s">
        <v>1255</v>
      </c>
      <c r="EO4" s="189" t="s">
        <v>1255</v>
      </c>
      <c r="EP4" s="168" t="s">
        <v>1545</v>
      </c>
      <c r="EQ4" s="168" t="s">
        <v>1545</v>
      </c>
      <c r="ET4" s="135" t="s">
        <v>2814</v>
      </c>
      <c r="EU4" s="135" t="s">
        <v>2926</v>
      </c>
      <c r="EY4" s="135" t="s">
        <v>2657</v>
      </c>
      <c r="EZ4" s="135" t="s">
        <v>2814</v>
      </c>
      <c r="FA4" s="135" t="s">
        <v>3360</v>
      </c>
      <c r="FB4" s="135" t="str">
        <f t="shared" si="0"/>
        <v>3vvOpname</v>
      </c>
      <c r="FC4" s="156">
        <f>VLOOKUP(EZ4,'Tarieven ZZP'!$D$6:$J$134,7,FALSE)</f>
        <v>183.28</v>
      </c>
      <c r="FD4" s="156">
        <f t="shared" si="1"/>
        <v>1282.96</v>
      </c>
      <c r="FI4" s="181" t="s">
        <v>1266</v>
      </c>
      <c r="FJ4" s="135">
        <v>2</v>
      </c>
    </row>
    <row r="5" spans="1:166" ht="18.600000000000001" thickBot="1" x14ac:dyDescent="0.4">
      <c r="A5" s="302"/>
      <c r="B5" s="334"/>
      <c r="C5" s="335"/>
      <c r="D5" s="339"/>
      <c r="E5" s="312"/>
      <c r="F5" s="469"/>
      <c r="G5" s="469"/>
      <c r="H5" s="469"/>
      <c r="I5" s="302"/>
      <c r="J5" s="302"/>
      <c r="K5" s="302"/>
      <c r="L5" s="302"/>
      <c r="M5" s="343" t="str">
        <f>IF(OR(F5="opname",F5="VPT"),"Financiële ruimte","Extramurale ruimte")</f>
        <v>Extramurale ruimte</v>
      </c>
      <c r="N5" s="302"/>
      <c r="O5" s="302"/>
      <c r="P5" s="302"/>
      <c r="Q5" s="302"/>
      <c r="R5" s="302"/>
      <c r="S5" s="302"/>
      <c r="T5" s="513"/>
      <c r="U5" s="514"/>
      <c r="V5" s="502"/>
      <c r="W5" s="503"/>
      <c r="X5" s="503"/>
      <c r="Y5" s="503"/>
      <c r="Z5" s="503"/>
      <c r="AA5" s="504"/>
      <c r="AB5" s="509"/>
      <c r="AC5" s="491"/>
      <c r="AD5" s="492"/>
      <c r="AE5" s="492"/>
      <c r="AF5" s="492"/>
      <c r="AG5" s="492"/>
      <c r="AH5" s="492"/>
      <c r="AI5" s="492"/>
      <c r="AJ5" s="493"/>
      <c r="AK5" s="493"/>
      <c r="AL5" s="493"/>
      <c r="AM5" s="494"/>
      <c r="AN5" s="185"/>
      <c r="AO5" s="170"/>
      <c r="AP5" s="170"/>
      <c r="AQ5" s="170"/>
      <c r="AR5" s="170"/>
      <c r="AS5" s="170"/>
      <c r="AT5" s="170"/>
      <c r="AU5" s="170"/>
      <c r="AV5" s="170"/>
      <c r="AW5" s="170"/>
      <c r="AX5" s="171"/>
      <c r="AY5" s="172"/>
      <c r="AZ5" s="172"/>
      <c r="BA5" s="172"/>
      <c r="BB5" s="173"/>
      <c r="BC5" s="173"/>
      <c r="BD5" s="186"/>
      <c r="BE5" s="187"/>
      <c r="BF5" s="187"/>
      <c r="BG5" s="187"/>
      <c r="BH5" s="187"/>
      <c r="BI5" s="187"/>
      <c r="BJ5" s="187"/>
      <c r="BK5" s="174"/>
      <c r="BL5" s="175"/>
      <c r="BM5" s="176" t="s">
        <v>3701</v>
      </c>
      <c r="BN5" s="195">
        <f>$M$6*25%</f>
        <v>0</v>
      </c>
      <c r="BO5" s="178"/>
      <c r="BP5" s="178"/>
      <c r="BQ5" s="178"/>
      <c r="BR5" s="179"/>
      <c r="BS5" s="179"/>
      <c r="BT5" s="179"/>
      <c r="BU5" s="179"/>
      <c r="BV5" s="179"/>
      <c r="BW5" s="179"/>
      <c r="BX5" s="179"/>
      <c r="BY5" s="188"/>
      <c r="BZ5" s="170"/>
      <c r="CA5" s="170"/>
      <c r="CB5" s="170"/>
      <c r="CC5" s="170"/>
      <c r="CD5" s="170"/>
      <c r="CE5" s="170"/>
      <c r="CF5" s="170"/>
      <c r="CG5" s="170"/>
      <c r="CH5" s="170"/>
      <c r="DU5" s="181"/>
      <c r="DV5" s="182"/>
      <c r="EN5" s="189" t="s">
        <v>1543</v>
      </c>
      <c r="EO5" s="189" t="s">
        <v>1543</v>
      </c>
      <c r="EP5" s="168" t="s">
        <v>1544</v>
      </c>
      <c r="EQ5" s="168" t="s">
        <v>1544</v>
      </c>
      <c r="ER5" s="135" t="s">
        <v>3348</v>
      </c>
      <c r="ET5" s="135" t="s">
        <v>2807</v>
      </c>
      <c r="EU5" s="135" t="s">
        <v>2767</v>
      </c>
      <c r="EY5" s="135" t="s">
        <v>2659</v>
      </c>
      <c r="EZ5" s="135" t="s">
        <v>2815</v>
      </c>
      <c r="FA5" s="135" t="s">
        <v>3360</v>
      </c>
      <c r="FB5" s="135" t="str">
        <f t="shared" si="0"/>
        <v>4vvOpname</v>
      </c>
      <c r="FC5" s="156">
        <f>VLOOKUP(EZ5,'Tarieven ZZP'!$D$6:$J$134,7,FALSE)</f>
        <v>197.33</v>
      </c>
      <c r="FD5" s="156">
        <f t="shared" si="1"/>
        <v>1381.3100000000002</v>
      </c>
      <c r="FI5" s="181" t="s">
        <v>1267</v>
      </c>
      <c r="FJ5" s="135">
        <v>2</v>
      </c>
    </row>
    <row r="6" spans="1:166" ht="19.5" customHeight="1" thickBot="1" x14ac:dyDescent="0.4">
      <c r="A6" s="302"/>
      <c r="B6" s="334" t="s">
        <v>2758</v>
      </c>
      <c r="C6" s="335"/>
      <c r="D6" s="340"/>
      <c r="E6" s="313"/>
      <c r="F6" s="469"/>
      <c r="G6" s="469"/>
      <c r="H6" s="469"/>
      <c r="I6" s="302"/>
      <c r="J6" s="302"/>
      <c r="K6" s="302"/>
      <c r="L6" s="302"/>
      <c r="M6" s="289">
        <f>IFERROR(IF(OR(F5="opname",F5="VPT"),FF7*H1,BQ10),0)</f>
        <v>0</v>
      </c>
      <c r="N6" s="302"/>
      <c r="O6" s="302"/>
      <c r="P6" s="302"/>
      <c r="Q6" s="302"/>
      <c r="R6" s="302"/>
      <c r="S6" s="302"/>
      <c r="T6" s="515"/>
      <c r="U6" s="516"/>
      <c r="V6" s="505"/>
      <c r="W6" s="506"/>
      <c r="X6" s="506"/>
      <c r="Y6" s="506"/>
      <c r="Z6" s="506"/>
      <c r="AA6" s="507"/>
      <c r="AB6" s="510"/>
      <c r="AC6" s="495"/>
      <c r="AD6" s="496"/>
      <c r="AE6" s="496"/>
      <c r="AF6" s="496"/>
      <c r="AG6" s="496"/>
      <c r="AH6" s="496"/>
      <c r="AI6" s="496"/>
      <c r="AJ6" s="497"/>
      <c r="AK6" s="497"/>
      <c r="AL6" s="497"/>
      <c r="AM6" s="498"/>
      <c r="AN6" s="170"/>
      <c r="AO6" s="170"/>
      <c r="AP6" s="170"/>
      <c r="AQ6" s="170"/>
      <c r="AR6" s="170"/>
      <c r="AS6" s="170"/>
      <c r="AT6" s="170"/>
      <c r="AU6" s="170"/>
      <c r="AV6" s="170"/>
      <c r="AW6" s="170"/>
      <c r="AX6" s="171"/>
      <c r="AY6" s="172"/>
      <c r="AZ6" s="172"/>
      <c r="BA6" s="172"/>
      <c r="BB6" s="173"/>
      <c r="BC6" s="173"/>
      <c r="BD6" s="190"/>
      <c r="BE6" s="191" t="s">
        <v>1258</v>
      </c>
      <c r="BF6" s="192" t="s">
        <v>1259</v>
      </c>
      <c r="BG6" s="193"/>
      <c r="BH6" s="193"/>
      <c r="BI6" s="193"/>
      <c r="BJ6" s="193"/>
      <c r="BK6" s="194"/>
      <c r="BL6" s="175"/>
      <c r="BM6" s="176" t="s">
        <v>1723</v>
      </c>
      <c r="BN6" s="195">
        <f>$M$6*25%</f>
        <v>0</v>
      </c>
      <c r="BO6" s="178" t="s">
        <v>1606</v>
      </c>
      <c r="BP6" s="178"/>
      <c r="BQ6" s="178">
        <v>0</v>
      </c>
      <c r="BR6" s="179" t="s">
        <v>1607</v>
      </c>
      <c r="BS6" s="179"/>
      <c r="BT6" s="196">
        <f ca="1">$M$10+$M$12+$BW$14</f>
        <v>0</v>
      </c>
      <c r="BU6" s="179"/>
      <c r="BV6" s="179" t="s">
        <v>1729</v>
      </c>
      <c r="BW6" s="196">
        <f ca="1">BC9</f>
        <v>0</v>
      </c>
      <c r="BX6" s="179"/>
      <c r="BY6" s="170"/>
      <c r="BZ6" s="170"/>
      <c r="CA6" s="170"/>
      <c r="CB6" s="170"/>
      <c r="CC6" s="170"/>
      <c r="CD6" s="170"/>
      <c r="CE6" s="170"/>
      <c r="CF6" s="170"/>
      <c r="CG6" s="170"/>
      <c r="CH6" s="170"/>
      <c r="CI6" s="190"/>
      <c r="CJ6" s="191" t="s">
        <v>1258</v>
      </c>
      <c r="CK6" s="192" t="s">
        <v>1259</v>
      </c>
      <c r="CL6" s="197" t="s">
        <v>1161</v>
      </c>
      <c r="CM6" s="198" t="s">
        <v>1161</v>
      </c>
      <c r="CN6" s="198" t="s">
        <v>1253</v>
      </c>
      <c r="CO6" s="198"/>
      <c r="CP6" s="198" t="s">
        <v>1255</v>
      </c>
      <c r="CQ6" s="198"/>
      <c r="CR6" s="198" t="s">
        <v>1542</v>
      </c>
      <c r="CS6" s="198"/>
      <c r="CT6" s="198" t="s">
        <v>1543</v>
      </c>
      <c r="CU6" s="198"/>
      <c r="CV6" s="198" t="s">
        <v>1256</v>
      </c>
      <c r="CW6" s="198" t="s">
        <v>1257</v>
      </c>
      <c r="CX6" s="199" t="s">
        <v>1316</v>
      </c>
      <c r="CY6" s="170">
        <v>25</v>
      </c>
      <c r="CZ6" s="170" t="s">
        <v>1553</v>
      </c>
      <c r="DA6" s="170"/>
      <c r="DB6" s="170" t="s">
        <v>1563</v>
      </c>
      <c r="DK6" s="135">
        <f t="shared" ref="DK6:DK19" si="2">IFERROR(VLOOKUP(B18,$T$7:$U$18,2,FALSE),0)</f>
        <v>0</v>
      </c>
      <c r="DL6" s="135">
        <f t="shared" ref="DL6:DL19" si="3">IF(D18="F125 Dagactiviteit LZA","Minuten",0)</f>
        <v>0</v>
      </c>
      <c r="DM6" s="135">
        <f>IF(DL6="minuten",DL6,DK6)</f>
        <v>0</v>
      </c>
      <c r="DO6" s="135" t="s">
        <v>2647</v>
      </c>
      <c r="DR6" s="135" t="s">
        <v>2649</v>
      </c>
      <c r="DS6" s="135" t="s">
        <v>2688</v>
      </c>
      <c r="DU6" s="181" t="s">
        <v>1265</v>
      </c>
      <c r="DV6" s="182" t="s">
        <v>1278</v>
      </c>
      <c r="DW6" s="135" t="s">
        <v>1598</v>
      </c>
      <c r="DX6" s="135">
        <v>0</v>
      </c>
      <c r="DY6" s="200">
        <v>12.5</v>
      </c>
      <c r="EA6" s="135" t="s">
        <v>2744</v>
      </c>
      <c r="EB6" s="135">
        <f>IFERROR(IF(DT2="ja",VLOOKUP($G$10,$DU$2:$DY$35,4,FALSE),VLOOKUP($G$10,$DU$36:$DY$83,4,FALSE)),0)</f>
        <v>0</v>
      </c>
      <c r="EN6" s="189" t="s">
        <v>1564</v>
      </c>
      <c r="EO6" s="189" t="s">
        <v>1564</v>
      </c>
      <c r="EP6" s="168"/>
      <c r="EQ6" s="168"/>
      <c r="ER6" s="135" t="s">
        <v>2994</v>
      </c>
      <c r="ET6" s="135" t="s">
        <v>2815</v>
      </c>
      <c r="EU6" s="135" t="s">
        <v>2927</v>
      </c>
      <c r="EY6" s="135" t="s">
        <v>2660</v>
      </c>
      <c r="EZ6" s="135" t="s">
        <v>2816</v>
      </c>
      <c r="FA6" s="135" t="s">
        <v>3360</v>
      </c>
      <c r="FB6" s="135" t="str">
        <f t="shared" si="0"/>
        <v>5vvOpname</v>
      </c>
      <c r="FC6" s="156">
        <f>VLOOKUP(EZ6,'Tarieven ZZP'!$D$6:$J$134,7,FALSE)</f>
        <v>250.05</v>
      </c>
      <c r="FD6" s="156">
        <f t="shared" si="1"/>
        <v>1750.3500000000001</v>
      </c>
      <c r="FI6" s="181" t="s">
        <v>1268</v>
      </c>
      <c r="FJ6" s="135">
        <v>2</v>
      </c>
    </row>
    <row r="7" spans="1:166" ht="19.5" customHeight="1" thickBot="1" x14ac:dyDescent="0.4">
      <c r="A7" s="302"/>
      <c r="B7" s="335"/>
      <c r="C7" s="335"/>
      <c r="D7" s="335"/>
      <c r="E7" s="302"/>
      <c r="F7" s="302"/>
      <c r="G7" s="303"/>
      <c r="H7" s="303"/>
      <c r="I7" s="302"/>
      <c r="J7" s="302"/>
      <c r="K7" s="302"/>
      <c r="L7" s="302"/>
      <c r="M7" s="317"/>
      <c r="N7" s="302"/>
      <c r="O7" s="302"/>
      <c r="P7" s="302"/>
      <c r="Q7" s="302"/>
      <c r="R7" s="302"/>
      <c r="S7" s="302"/>
      <c r="T7" s="201" t="s">
        <v>1542</v>
      </c>
      <c r="U7" s="202" t="s">
        <v>1565</v>
      </c>
      <c r="V7" s="203" t="s">
        <v>1423</v>
      </c>
      <c r="W7" s="204" t="s">
        <v>1424</v>
      </c>
      <c r="X7" s="204" t="s">
        <v>1426</v>
      </c>
      <c r="Y7" s="204" t="s">
        <v>1422</v>
      </c>
      <c r="Z7" s="204" t="s">
        <v>1421</v>
      </c>
      <c r="AA7" s="205" t="s">
        <v>1425</v>
      </c>
      <c r="AB7" s="137">
        <v>0.7</v>
      </c>
      <c r="AC7" s="138" t="s">
        <v>1295</v>
      </c>
      <c r="AD7" s="138" t="s">
        <v>1298</v>
      </c>
      <c r="AE7" s="138" t="s">
        <v>1297</v>
      </c>
      <c r="AF7" s="138" t="s">
        <v>1795</v>
      </c>
      <c r="AG7" s="138" t="s">
        <v>1291</v>
      </c>
      <c r="AH7" s="138" t="s">
        <v>1255</v>
      </c>
      <c r="AI7" s="138" t="s">
        <v>1253</v>
      </c>
      <c r="AJ7" s="139" t="s">
        <v>2761</v>
      </c>
      <c r="AK7" s="139" t="s">
        <v>47</v>
      </c>
      <c r="AL7" s="139" t="s">
        <v>3351</v>
      </c>
      <c r="AM7" s="139" t="s">
        <v>1428</v>
      </c>
      <c r="AN7" s="170" t="s">
        <v>1579</v>
      </c>
      <c r="AO7" s="185" t="s">
        <v>1431</v>
      </c>
      <c r="AP7" s="185" t="s">
        <v>1317</v>
      </c>
      <c r="AQ7" s="170" t="s">
        <v>1575</v>
      </c>
      <c r="AR7" s="185" t="s">
        <v>1577</v>
      </c>
      <c r="AS7" s="170" t="s">
        <v>1576</v>
      </c>
      <c r="AT7" s="170" t="s">
        <v>1578</v>
      </c>
      <c r="AU7" s="170"/>
      <c r="AV7" s="170" t="s">
        <v>1431</v>
      </c>
      <c r="AW7" s="170" t="s">
        <v>1587</v>
      </c>
      <c r="AX7" s="165" t="s">
        <v>1667</v>
      </c>
      <c r="AY7" s="135" t="s">
        <v>13</v>
      </c>
      <c r="AZ7" s="206">
        <f>VLOOKUP(AY7,'Tarieven ZIN prestaties'!$B$1:$D$84,2,FALSE)</f>
        <v>11.93</v>
      </c>
      <c r="BA7" s="207"/>
      <c r="BB7" s="173" t="s">
        <v>1592</v>
      </c>
      <c r="BC7" s="208">
        <f ca="1">SUMIF($B$18:$G$31,"Bhind",$I$18:$I$31)</f>
        <v>0</v>
      </c>
      <c r="BD7" s="181" t="s">
        <v>1263</v>
      </c>
      <c r="BE7" s="209">
        <v>860</v>
      </c>
      <c r="BF7" s="182" t="s">
        <v>1278</v>
      </c>
      <c r="BG7" s="210">
        <f>VLOOKUP(BD7,'PGB tarieven'!$A$7:$M$53,13,FALSE)</f>
        <v>30587.608062555199</v>
      </c>
      <c r="BH7" s="211">
        <f>BG7/365*7</f>
        <v>586.61166147366134</v>
      </c>
      <c r="BI7" s="193" t="s">
        <v>1597</v>
      </c>
      <c r="BJ7" s="193" t="e">
        <f>VLOOKUP(G10,BD7:BH54,5,FALSE)</f>
        <v>#N/A</v>
      </c>
      <c r="BK7" s="212" t="s">
        <v>1214</v>
      </c>
      <c r="BL7" s="175">
        <f>VLOOKUP(BK7,'Ruimte behandeling basis MPT'!$A$2:$H$41,8,FALSE)</f>
        <v>0</v>
      </c>
      <c r="BM7" s="176" t="s">
        <v>1724</v>
      </c>
      <c r="BN7" s="195">
        <f>$M$6*25%</f>
        <v>0</v>
      </c>
      <c r="BO7" s="178"/>
      <c r="BP7" s="178"/>
      <c r="BQ7" s="213" t="e">
        <f>BJ7</f>
        <v>#N/A</v>
      </c>
      <c r="BR7" s="179" t="s">
        <v>1608</v>
      </c>
      <c r="BS7" s="179"/>
      <c r="BT7" s="196">
        <f ca="1">I32</f>
        <v>0</v>
      </c>
      <c r="BU7" s="179"/>
      <c r="BV7" s="179"/>
      <c r="BW7" s="179"/>
      <c r="BX7" s="179"/>
      <c r="BY7" s="188" t="s">
        <v>1431</v>
      </c>
      <c r="BZ7" s="188" t="s">
        <v>1615</v>
      </c>
      <c r="CA7" s="188" t="s">
        <v>1317</v>
      </c>
      <c r="CB7" s="214" t="s">
        <v>1616</v>
      </c>
      <c r="CC7" s="188" t="s">
        <v>1617</v>
      </c>
      <c r="CD7" s="214"/>
      <c r="CE7" s="214"/>
      <c r="CF7" s="214"/>
      <c r="CG7" s="214"/>
      <c r="CH7" s="214"/>
      <c r="CI7" s="181" t="s">
        <v>1263</v>
      </c>
      <c r="CJ7" s="209" t="s">
        <v>1633</v>
      </c>
      <c r="CK7" s="215" t="s">
        <v>1244</v>
      </c>
      <c r="CL7" s="216"/>
      <c r="CM7" s="217" t="s">
        <v>1258</v>
      </c>
      <c r="CN7" s="217"/>
      <c r="CO7" s="217"/>
      <c r="CP7" s="217"/>
      <c r="CQ7" s="217"/>
      <c r="CR7" s="217"/>
      <c r="CS7" s="217"/>
      <c r="CT7" s="217"/>
      <c r="CU7" s="217"/>
      <c r="CV7" s="217" t="s">
        <v>1261</v>
      </c>
      <c r="CW7" s="217"/>
      <c r="CZ7" s="135" t="s">
        <v>1627</v>
      </c>
      <c r="DA7" s="135" t="s">
        <v>1628</v>
      </c>
      <c r="DB7" s="135" t="s">
        <v>1626</v>
      </c>
      <c r="DE7" s="135" t="e">
        <f>VLOOKUP(G$10,$CI$7:$CK$54,2,FALSE)</f>
        <v>#N/A</v>
      </c>
      <c r="DH7" s="135" t="str">
        <f>IF(G10="10VV",DG9,DH9)</f>
        <v>Lijst4</v>
      </c>
      <c r="DK7" s="135">
        <f t="shared" si="2"/>
        <v>0</v>
      </c>
      <c r="DL7" s="135">
        <f t="shared" si="3"/>
        <v>0</v>
      </c>
      <c r="DM7" s="135">
        <f t="shared" ref="DM7:DM19" si="4">IF(DL7="minuten",DL7,DK7)</f>
        <v>0</v>
      </c>
      <c r="DO7" s="218" t="s">
        <v>2688</v>
      </c>
      <c r="DP7" s="218" t="s">
        <v>2689</v>
      </c>
      <c r="DQ7" s="218" t="s">
        <v>2690</v>
      </c>
      <c r="DR7" s="135" t="s">
        <v>2650</v>
      </c>
      <c r="DS7" s="135" t="s">
        <v>2688</v>
      </c>
      <c r="DU7" s="181" t="s">
        <v>1266</v>
      </c>
      <c r="DV7" s="182" t="s">
        <v>1278</v>
      </c>
      <c r="DW7" s="135" t="s">
        <v>1598</v>
      </c>
      <c r="DX7" s="135">
        <v>0</v>
      </c>
      <c r="DY7" s="135">
        <v>16</v>
      </c>
      <c r="EK7" s="135" t="s">
        <v>3346</v>
      </c>
      <c r="EN7" s="279" t="s">
        <v>1291</v>
      </c>
      <c r="EO7" s="279" t="s">
        <v>1291</v>
      </c>
      <c r="EP7" s="168"/>
      <c r="EQ7" s="168"/>
      <c r="ER7" s="135" t="s">
        <v>3347</v>
      </c>
      <c r="ET7" s="135" t="s">
        <v>2808</v>
      </c>
      <c r="EU7" s="135" t="s">
        <v>2768</v>
      </c>
      <c r="EY7" s="135" t="s">
        <v>2661</v>
      </c>
      <c r="EZ7" s="135" t="s">
        <v>2817</v>
      </c>
      <c r="FA7" s="135" t="s">
        <v>3360</v>
      </c>
      <c r="FB7" s="135" t="str">
        <f t="shared" si="0"/>
        <v>6vvOpname</v>
      </c>
      <c r="FC7" s="156">
        <f>VLOOKUP(EZ7,'Tarieven ZZP'!$D$6:$J$134,7,FALSE)</f>
        <v>251.14</v>
      </c>
      <c r="FD7" s="156">
        <f t="shared" si="1"/>
        <v>1757.98</v>
      </c>
      <c r="FE7" s="135" t="str">
        <f>CONCATENATE(G10,F5)</f>
        <v/>
      </c>
      <c r="FF7" s="135">
        <f>IFERROR(VLOOKUP(FE7,FB2:FD82,3,FALSE),0)</f>
        <v>0</v>
      </c>
      <c r="FI7" s="181" t="s">
        <v>1269</v>
      </c>
      <c r="FJ7" s="135">
        <v>2</v>
      </c>
    </row>
    <row r="8" spans="1:166" ht="19.5" customHeight="1" thickBot="1" x14ac:dyDescent="0.45">
      <c r="A8" s="302"/>
      <c r="B8" s="334" t="s">
        <v>1695</v>
      </c>
      <c r="C8" s="341"/>
      <c r="D8" s="341"/>
      <c r="E8" s="310"/>
      <c r="F8" s="310"/>
      <c r="G8" s="464"/>
      <c r="H8" s="464"/>
      <c r="I8" s="470" t="s">
        <v>3350</v>
      </c>
      <c r="J8" s="471"/>
      <c r="K8" s="471"/>
      <c r="L8" s="471"/>
      <c r="M8" s="362"/>
      <c r="N8" s="375" t="str">
        <f>IFERROR(IF(F5="MPT",M8/M6,M8/U1)," ")</f>
        <v xml:space="preserve"> </v>
      </c>
      <c r="O8" s="344" t="s">
        <v>3419</v>
      </c>
      <c r="P8" s="284"/>
      <c r="Q8" s="302"/>
      <c r="R8" s="302"/>
      <c r="S8" s="302"/>
      <c r="T8" s="220" t="s">
        <v>1253</v>
      </c>
      <c r="U8" s="221" t="s">
        <v>1565</v>
      </c>
      <c r="V8" s="222" t="s">
        <v>1214</v>
      </c>
      <c r="W8" s="223" t="s">
        <v>1217</v>
      </c>
      <c r="X8" s="224" t="s">
        <v>1263</v>
      </c>
      <c r="Y8" s="224" t="s">
        <v>1238</v>
      </c>
      <c r="Z8" s="224" t="s">
        <v>1198</v>
      </c>
      <c r="AA8" s="225" t="s">
        <v>1209</v>
      </c>
      <c r="AB8" s="140">
        <v>0.9</v>
      </c>
      <c r="AC8" s="141" t="s">
        <v>1670</v>
      </c>
      <c r="AD8" s="135" t="s">
        <v>1638</v>
      </c>
      <c r="AE8" s="142" t="s">
        <v>1667</v>
      </c>
      <c r="AF8" s="143" t="s">
        <v>3365</v>
      </c>
      <c r="AG8" s="144" t="s">
        <v>1799</v>
      </c>
      <c r="AH8" s="135" t="s">
        <v>1644</v>
      </c>
      <c r="AI8" s="135" t="s">
        <v>1648</v>
      </c>
      <c r="AJ8" s="135" t="s">
        <v>2804</v>
      </c>
      <c r="AK8" s="135" t="s">
        <v>2764</v>
      </c>
      <c r="AL8" s="135" t="s">
        <v>1744</v>
      </c>
      <c r="AM8" s="145" t="s">
        <v>1736</v>
      </c>
      <c r="AN8" s="170">
        <v>0</v>
      </c>
      <c r="AO8" s="170" t="s">
        <v>1554</v>
      </c>
      <c r="AP8" s="185" t="s">
        <v>1542</v>
      </c>
      <c r="AQ8" s="170">
        <f>SUMIF($B$18:$B$31,"bgind",$F$18:$F$31)</f>
        <v>0</v>
      </c>
      <c r="AR8" s="170">
        <f>AQ8/60</f>
        <v>0</v>
      </c>
      <c r="AS8" s="170">
        <f>FLOOR(AR8,1)</f>
        <v>0</v>
      </c>
      <c r="AT8" s="170">
        <f>IF(AQ8&gt;0,1,0)</f>
        <v>0</v>
      </c>
      <c r="AU8" s="170">
        <f>IF(AS8+AT8&lt;=1,AT8,AS8)</f>
        <v>0</v>
      </c>
      <c r="AV8" s="170" t="str">
        <f>IFERROR(VLOOKUP(AU8,$AN$8:$AO$33,2,FALSE),"K8")</f>
        <v>Nvt</v>
      </c>
      <c r="AW8" s="170"/>
      <c r="AX8" s="165" t="s">
        <v>1644</v>
      </c>
      <c r="AY8" s="135" t="s">
        <v>26</v>
      </c>
      <c r="AZ8" s="206">
        <f>VLOOKUP(AY8,'Tarieven ZIN prestaties'!$B$1:$D$84,2,FALSE)</f>
        <v>71.48</v>
      </c>
      <c r="BA8" s="207"/>
      <c r="BB8" s="173" t="s">
        <v>1590</v>
      </c>
      <c r="BC8" s="208">
        <f ca="1">SUMIF($B$18:$G$31,"Bhgrp",$I$18:$I$31)</f>
        <v>0</v>
      </c>
      <c r="BD8" s="181" t="s">
        <v>1265</v>
      </c>
      <c r="BE8" s="209">
        <v>862</v>
      </c>
      <c r="BF8" s="182" t="s">
        <v>1278</v>
      </c>
      <c r="BG8" s="210">
        <f>VLOOKUP(BD8,'PGB tarieven'!$A$7:$M$53,13,FALSE)</f>
        <v>37093.608062555199</v>
      </c>
      <c r="BH8" s="211">
        <f t="shared" ref="BH8:BH41" si="5">BG8/365*7</f>
        <v>711.38426421338738</v>
      </c>
      <c r="BI8" s="193"/>
      <c r="BJ8" s="193"/>
      <c r="BK8" s="212" t="s">
        <v>1215</v>
      </c>
      <c r="BL8" s="175">
        <f>VLOOKUP(BK8,'Ruimte behandeling basis MPT'!$A$2:$H$41,8,FALSE)</f>
        <v>0</v>
      </c>
      <c r="BM8" s="226" t="s">
        <v>1697</v>
      </c>
      <c r="BN8" s="195">
        <f>$M$6*25%</f>
        <v>0</v>
      </c>
      <c r="BO8" s="178"/>
      <c r="BP8" s="178"/>
      <c r="BQ8" s="227">
        <f>IFERROR(VLOOKUP(G10,BM16:BQ31,5,FALSE),0)</f>
        <v>0</v>
      </c>
      <c r="BR8" s="179"/>
      <c r="BS8" s="179"/>
      <c r="BT8" s="196">
        <f ca="1">(2+BT6)-BT7</f>
        <v>2</v>
      </c>
      <c r="BU8" s="179"/>
      <c r="BV8" s="179"/>
      <c r="BW8" s="179"/>
      <c r="BX8" s="179"/>
      <c r="BY8" s="214" t="s">
        <v>1614</v>
      </c>
      <c r="BZ8" s="214">
        <v>0.5</v>
      </c>
      <c r="CA8" s="228" t="s">
        <v>1542</v>
      </c>
      <c r="CB8" s="229">
        <v>123.79</v>
      </c>
      <c r="CC8" s="229" t="s">
        <v>486</v>
      </c>
      <c r="CD8" s="214"/>
      <c r="CE8" s="214"/>
      <c r="CF8" s="214"/>
      <c r="CG8" s="214"/>
      <c r="CH8" s="214"/>
      <c r="CI8" s="181" t="s">
        <v>1265</v>
      </c>
      <c r="CJ8" s="209" t="s">
        <v>1633</v>
      </c>
      <c r="CK8" s="215" t="s">
        <v>1244</v>
      </c>
      <c r="CL8" s="230" t="s">
        <v>1263</v>
      </c>
      <c r="CM8" s="231">
        <v>860</v>
      </c>
      <c r="CN8" s="232">
        <v>1497</v>
      </c>
      <c r="CO8" s="232">
        <f>CN8/52</f>
        <v>28.78846153846154</v>
      </c>
      <c r="CP8" s="232">
        <v>1281</v>
      </c>
      <c r="CQ8" s="232">
        <f>CP8/52</f>
        <v>24.634615384615383</v>
      </c>
      <c r="CR8" s="232">
        <v>10907</v>
      </c>
      <c r="CS8" s="232">
        <f>CR8/52</f>
        <v>209.75</v>
      </c>
      <c r="CT8" s="232">
        <v>10974</v>
      </c>
      <c r="CU8" s="232">
        <f>CT8/52</f>
        <v>211.03846153846155</v>
      </c>
      <c r="CV8" s="232">
        <v>3357</v>
      </c>
      <c r="CW8" s="232">
        <v>28016</v>
      </c>
      <c r="CX8" s="233">
        <v>24659</v>
      </c>
      <c r="CY8" s="185" t="s">
        <v>1542</v>
      </c>
      <c r="CZ8" s="170">
        <f>SUMIF($B$18:$B$31,"bgind",$F$18:$F$31)</f>
        <v>0</v>
      </c>
      <c r="DA8" s="170">
        <f>CZ8/60</f>
        <v>0</v>
      </c>
      <c r="DB8" s="135">
        <v>25</v>
      </c>
      <c r="DC8" s="135">
        <f>DA8-DB8</f>
        <v>-25</v>
      </c>
      <c r="DD8" s="135">
        <f t="shared" ref="DD8:DD14" si="6">IF(DC8&gt;0,DC8,0)</f>
        <v>0</v>
      </c>
      <c r="DK8" s="135">
        <f t="shared" si="2"/>
        <v>0</v>
      </c>
      <c r="DL8" s="135">
        <f t="shared" si="3"/>
        <v>0</v>
      </c>
      <c r="DM8" s="135">
        <f t="shared" si="4"/>
        <v>0</v>
      </c>
      <c r="DO8" s="142" t="s">
        <v>1667</v>
      </c>
      <c r="DP8" s="142" t="s">
        <v>1667</v>
      </c>
      <c r="DQ8" s="142" t="s">
        <v>1667</v>
      </c>
      <c r="DR8" s="142" t="s">
        <v>2651</v>
      </c>
      <c r="DS8" s="135" t="s">
        <v>2688</v>
      </c>
      <c r="DU8" s="181" t="s">
        <v>1267</v>
      </c>
      <c r="DV8" s="182" t="s">
        <v>1278</v>
      </c>
      <c r="DW8" s="135" t="s">
        <v>1598</v>
      </c>
      <c r="DX8" s="135">
        <v>0</v>
      </c>
      <c r="DY8" s="200">
        <v>18.5</v>
      </c>
      <c r="EK8" s="135" t="s">
        <v>3349</v>
      </c>
      <c r="EN8" s="219" t="s">
        <v>1795</v>
      </c>
      <c r="EO8" s="219" t="s">
        <v>1795</v>
      </c>
      <c r="EP8" s="168"/>
      <c r="EQ8" s="168"/>
      <c r="ET8" s="135" t="s">
        <v>2816</v>
      </c>
      <c r="EU8" s="135" t="s">
        <v>2928</v>
      </c>
      <c r="EY8" s="135" t="s">
        <v>2662</v>
      </c>
      <c r="EZ8" s="135" t="s">
        <v>2818</v>
      </c>
      <c r="FA8" s="135" t="s">
        <v>3360</v>
      </c>
      <c r="FB8" s="135" t="str">
        <f t="shared" ref="FB8:FB72" si="7">CONCATENATE(EY8,FA8)</f>
        <v>7vvOpname</v>
      </c>
      <c r="FC8" s="156">
        <f>VLOOKUP(EZ8,'Tarieven ZZP'!$D$6:$J$134,7,FALSE)</f>
        <v>293.16000000000003</v>
      </c>
      <c r="FD8" s="156">
        <f t="shared" si="1"/>
        <v>2052.1200000000003</v>
      </c>
      <c r="FI8" s="181" t="s">
        <v>1270</v>
      </c>
      <c r="FJ8" s="135">
        <v>2</v>
      </c>
    </row>
    <row r="9" spans="1:166" ht="19.5" customHeight="1" thickBot="1" x14ac:dyDescent="0.4">
      <c r="A9" s="302"/>
      <c r="B9" s="341"/>
      <c r="C9" s="341"/>
      <c r="D9" s="341"/>
      <c r="E9" s="310"/>
      <c r="F9" s="310"/>
      <c r="G9" s="304"/>
      <c r="H9" s="304"/>
      <c r="I9" s="467"/>
      <c r="J9" s="467"/>
      <c r="K9" s="467"/>
      <c r="L9" s="467"/>
      <c r="M9" s="327" t="s">
        <v>3343</v>
      </c>
      <c r="N9" s="302"/>
      <c r="O9" s="302"/>
      <c r="P9" s="318"/>
      <c r="Q9" s="318"/>
      <c r="R9" s="318"/>
      <c r="S9" s="302"/>
      <c r="T9" s="220" t="s">
        <v>1255</v>
      </c>
      <c r="U9" s="221" t="s">
        <v>1565</v>
      </c>
      <c r="V9" s="383" t="s">
        <v>1215</v>
      </c>
      <c r="W9" s="223" t="s">
        <v>1218</v>
      </c>
      <c r="X9" s="224" t="s">
        <v>1265</v>
      </c>
      <c r="Y9" s="224" t="s">
        <v>1239</v>
      </c>
      <c r="Z9" s="224" t="s">
        <v>1199</v>
      </c>
      <c r="AA9" s="225" t="s">
        <v>1210</v>
      </c>
      <c r="AB9" s="140">
        <v>0.90500000000000003</v>
      </c>
      <c r="AC9" s="141" t="s">
        <v>1659</v>
      </c>
      <c r="AD9" s="135" t="s">
        <v>1639</v>
      </c>
      <c r="AE9" s="142" t="s">
        <v>1665</v>
      </c>
      <c r="AF9" s="143"/>
      <c r="AG9" s="144" t="s">
        <v>1800</v>
      </c>
      <c r="AH9" s="135" t="s">
        <v>1646</v>
      </c>
      <c r="AI9" s="135" t="s">
        <v>1649</v>
      </c>
      <c r="AJ9" s="135" t="s">
        <v>2805</v>
      </c>
      <c r="AK9" s="135" t="s">
        <v>2765</v>
      </c>
      <c r="AL9" s="135" t="s">
        <v>3556</v>
      </c>
      <c r="AM9" s="145" t="s">
        <v>1653</v>
      </c>
      <c r="AN9" s="170">
        <v>1</v>
      </c>
      <c r="AO9" s="170" t="s">
        <v>1546</v>
      </c>
      <c r="AP9" s="185" t="s">
        <v>1253</v>
      </c>
      <c r="AQ9" s="170">
        <f>SUMIF($B$18:$B$31,"PV",$F$18:$F$31)</f>
        <v>0</v>
      </c>
      <c r="AR9" s="170">
        <f>AQ9/60</f>
        <v>0</v>
      </c>
      <c r="AS9" s="170">
        <f>FLOOR(AR9,1)</f>
        <v>0</v>
      </c>
      <c r="AT9" s="170">
        <f>IF(AQ9&gt;0,1,0)</f>
        <v>0</v>
      </c>
      <c r="AU9" s="170">
        <f>IF(AS9+AT9&lt;=1,AT9,AS9)</f>
        <v>0</v>
      </c>
      <c r="AV9" s="170" t="str">
        <f>IFERROR(VLOOKUP(AU9,AN8:AO33,2,FALSE),"k8")</f>
        <v>Nvt</v>
      </c>
      <c r="AW9" s="170"/>
      <c r="AX9" s="165" t="s">
        <v>1646</v>
      </c>
      <c r="AY9" s="135" t="s">
        <v>44</v>
      </c>
      <c r="AZ9" s="206">
        <f>VLOOKUP(AY9,'Tarieven ZIN prestaties'!$B$1:$D$84,2,FALSE)</f>
        <v>89.66</v>
      </c>
      <c r="BA9" s="207"/>
      <c r="BB9" s="173" t="s">
        <v>1591</v>
      </c>
      <c r="BC9" s="208">
        <f ca="1">SUMIF($B$18:$G$31,"logeren",$I$18:$I$31)</f>
        <v>0</v>
      </c>
      <c r="BD9" s="181" t="s">
        <v>1266</v>
      </c>
      <c r="BE9" s="209">
        <v>864</v>
      </c>
      <c r="BF9" s="182" t="s">
        <v>1278</v>
      </c>
      <c r="BG9" s="210">
        <f>VLOOKUP(BD9,'PGB tarieven'!$A$7:$M$53,13,FALSE)</f>
        <v>43559.608062555199</v>
      </c>
      <c r="BH9" s="211">
        <f t="shared" si="5"/>
        <v>835.38974366544221</v>
      </c>
      <c r="BI9" s="193"/>
      <c r="BJ9" s="193"/>
      <c r="BK9" s="212" t="s">
        <v>1216</v>
      </c>
      <c r="BL9" s="175">
        <f>VLOOKUP(BK9,'Ruimte behandeling basis MPT'!$A$2:$H$41,8,FALSE)</f>
        <v>154.19082379073944</v>
      </c>
      <c r="BM9" s="226" t="s">
        <v>1804</v>
      </c>
      <c r="BN9" s="195">
        <f>$M$6*25%</f>
        <v>0</v>
      </c>
      <c r="BO9" s="227" t="e">
        <f>BQ7-BQ8</f>
        <v>#N/A</v>
      </c>
      <c r="BP9" s="178"/>
      <c r="BQ9" s="227"/>
      <c r="BR9" s="179">
        <f ca="1">IF(BT8&gt;=0,1,0)</f>
        <v>1</v>
      </c>
      <c r="BS9" s="179"/>
      <c r="BT9" s="179"/>
      <c r="BU9" s="179"/>
      <c r="BV9" s="179"/>
      <c r="BW9" s="179"/>
      <c r="BX9" s="179"/>
      <c r="BY9" s="214" t="s">
        <v>1546</v>
      </c>
      <c r="BZ9" s="214">
        <v>1</v>
      </c>
      <c r="CA9" s="228" t="s">
        <v>1253</v>
      </c>
      <c r="CB9" s="229">
        <v>81.48</v>
      </c>
      <c r="CC9" s="229" t="s">
        <v>20</v>
      </c>
      <c r="CD9" s="214"/>
      <c r="CE9" s="214"/>
      <c r="CF9" s="214"/>
      <c r="CG9" s="214"/>
      <c r="CH9" s="214"/>
      <c r="CI9" s="181" t="s">
        <v>1266</v>
      </c>
      <c r="CJ9" s="209" t="s">
        <v>1633</v>
      </c>
      <c r="CK9" s="215" t="s">
        <v>1244</v>
      </c>
      <c r="CL9" s="235" t="s">
        <v>1265</v>
      </c>
      <c r="CM9" s="236">
        <v>862</v>
      </c>
      <c r="CN9" s="237">
        <v>1497</v>
      </c>
      <c r="CO9" s="232">
        <f t="shared" ref="CO9:CO55" si="8">CN9/52</f>
        <v>28.78846153846154</v>
      </c>
      <c r="CP9" s="237">
        <v>1281</v>
      </c>
      <c r="CQ9" s="232">
        <f t="shared" ref="CQ9:CQ55" si="9">CP9/52</f>
        <v>24.634615384615383</v>
      </c>
      <c r="CR9" s="237">
        <v>16866</v>
      </c>
      <c r="CS9" s="232">
        <f t="shared" ref="CS9:CS55" si="10">CR9/52</f>
        <v>324.34615384615387</v>
      </c>
      <c r="CT9" s="237">
        <v>10974</v>
      </c>
      <c r="CU9" s="232">
        <f t="shared" ref="CU9:CU55" si="11">CT9/52</f>
        <v>211.03846153846155</v>
      </c>
      <c r="CV9" s="237">
        <v>3357</v>
      </c>
      <c r="CW9" s="237">
        <v>33975</v>
      </c>
      <c r="CX9" s="233">
        <v>30618</v>
      </c>
      <c r="CY9" s="185" t="s">
        <v>1253</v>
      </c>
      <c r="CZ9" s="170">
        <f>SUMIF($B$18:$B$31,"PV",$F$18:$F$31)</f>
        <v>0</v>
      </c>
      <c r="DA9" s="170">
        <f>CZ9/60</f>
        <v>0</v>
      </c>
      <c r="DB9" s="135">
        <v>25</v>
      </c>
      <c r="DC9" s="135">
        <f>DA9-DB9</f>
        <v>-25</v>
      </c>
      <c r="DD9" s="135">
        <f t="shared" si="6"/>
        <v>0</v>
      </c>
      <c r="DE9" s="135">
        <v>1</v>
      </c>
      <c r="DF9" s="135">
        <v>2</v>
      </c>
      <c r="DG9" s="135" t="s">
        <v>3703</v>
      </c>
      <c r="DH9" s="135" t="s">
        <v>3702</v>
      </c>
      <c r="DI9" s="135" t="s">
        <v>1806</v>
      </c>
      <c r="DK9" s="135">
        <f t="shared" si="2"/>
        <v>0</v>
      </c>
      <c r="DL9" s="135">
        <f t="shared" si="3"/>
        <v>0</v>
      </c>
      <c r="DM9" s="135">
        <f t="shared" si="4"/>
        <v>0</v>
      </c>
      <c r="DO9" s="142" t="s">
        <v>1665</v>
      </c>
      <c r="DP9" s="142" t="s">
        <v>1665</v>
      </c>
      <c r="DQ9" s="142" t="s">
        <v>1665</v>
      </c>
      <c r="DR9" s="142" t="s">
        <v>2652</v>
      </c>
      <c r="DS9" s="142" t="s">
        <v>2689</v>
      </c>
      <c r="DU9" s="181" t="s">
        <v>1268</v>
      </c>
      <c r="DV9" s="182" t="s">
        <v>1278</v>
      </c>
      <c r="DW9" s="135" t="s">
        <v>1598</v>
      </c>
      <c r="DX9" s="135">
        <v>0</v>
      </c>
      <c r="DY9" s="135">
        <v>20</v>
      </c>
      <c r="EN9" s="234" t="s">
        <v>1545</v>
      </c>
      <c r="EO9" s="234" t="s">
        <v>1545</v>
      </c>
      <c r="ET9" s="135" t="s">
        <v>2809</v>
      </c>
      <c r="EU9" s="135" t="s">
        <v>2769</v>
      </c>
      <c r="EY9" s="135" t="s">
        <v>2663</v>
      </c>
      <c r="EZ9" s="135" t="s">
        <v>2819</v>
      </c>
      <c r="FA9" s="135" t="s">
        <v>3360</v>
      </c>
      <c r="FB9" s="135" t="str">
        <f t="shared" si="7"/>
        <v>8vvOpname</v>
      </c>
      <c r="FC9" s="156">
        <f>VLOOKUP(EZ9,'Tarieven ZZP'!$D$6:$J$134,7,FALSE)</f>
        <v>331.34</v>
      </c>
      <c r="FD9" s="156">
        <f t="shared" si="1"/>
        <v>2319.3799999999997</v>
      </c>
      <c r="FI9" s="181" t="s">
        <v>1230</v>
      </c>
      <c r="FJ9" s="135">
        <v>1</v>
      </c>
    </row>
    <row r="10" spans="1:166" ht="19.5" customHeight="1" thickBot="1" x14ac:dyDescent="0.4">
      <c r="A10" s="302"/>
      <c r="B10" s="334" t="s">
        <v>1722</v>
      </c>
      <c r="C10" s="341"/>
      <c r="D10" s="341"/>
      <c r="E10" s="310"/>
      <c r="F10" s="310"/>
      <c r="G10" s="464"/>
      <c r="H10" s="464"/>
      <c r="I10" s="311"/>
      <c r="J10" s="302"/>
      <c r="K10" s="302"/>
      <c r="L10" s="302"/>
      <c r="M10" s="328">
        <f>IF(M8&gt;=0,M6-M8,"fout, PGB bedrag")</f>
        <v>0</v>
      </c>
      <c r="N10" s="349"/>
      <c r="O10" s="485" t="str">
        <f>EI1</f>
        <v xml:space="preserve"> </v>
      </c>
      <c r="P10" s="486"/>
      <c r="Q10" s="486"/>
      <c r="R10" s="486"/>
      <c r="S10" s="302"/>
      <c r="T10" s="220" t="s">
        <v>1543</v>
      </c>
      <c r="U10" s="221" t="s">
        <v>1566</v>
      </c>
      <c r="V10" s="383" t="s">
        <v>1216</v>
      </c>
      <c r="W10" s="223" t="s">
        <v>1220</v>
      </c>
      <c r="X10" s="224" t="s">
        <v>1266</v>
      </c>
      <c r="Y10" s="224" t="s">
        <v>1240</v>
      </c>
      <c r="Z10" s="224" t="s">
        <v>1200</v>
      </c>
      <c r="AA10" s="225" t="s">
        <v>1211</v>
      </c>
      <c r="AB10" s="140">
        <v>0.91</v>
      </c>
      <c r="AC10" s="141" t="s">
        <v>1660</v>
      </c>
      <c r="AD10" s="135" t="s">
        <v>1751</v>
      </c>
      <c r="AE10" s="142" t="s">
        <v>1666</v>
      </c>
      <c r="AF10" s="143"/>
      <c r="AG10" s="144" t="s">
        <v>1801</v>
      </c>
      <c r="AH10" s="135" t="s">
        <v>1647</v>
      </c>
      <c r="AI10" s="135" t="s">
        <v>1735</v>
      </c>
      <c r="AJ10" s="135" t="s">
        <v>2806</v>
      </c>
      <c r="AK10" s="135" t="s">
        <v>2766</v>
      </c>
      <c r="AL10" s="135" t="s">
        <v>3557</v>
      </c>
      <c r="AM10" s="145" t="s">
        <v>1737</v>
      </c>
      <c r="AN10" s="170">
        <v>2</v>
      </c>
      <c r="AO10" s="170" t="s">
        <v>1547</v>
      </c>
      <c r="AP10" s="185" t="s">
        <v>1255</v>
      </c>
      <c r="AQ10" s="170">
        <f>SUMIF($B$18:$B$31,"VP",$F$18:$F$31)</f>
        <v>0</v>
      </c>
      <c r="AR10" s="170">
        <f>AQ10/60</f>
        <v>0</v>
      </c>
      <c r="AS10" s="170">
        <f>FLOOR(AR10,1)</f>
        <v>0</v>
      </c>
      <c r="AT10" s="170">
        <f>IF(AQ10&gt;0,1,0)</f>
        <v>0</v>
      </c>
      <c r="AU10" s="170">
        <f>IF(AS10+AT10&lt;=1,AT10,AS10)</f>
        <v>0</v>
      </c>
      <c r="AV10" s="170" t="str">
        <f>IF(IFERROR(VLOOKUP(AU10,AN8:AO33,2,FALSE),"K8")="k8","K7",VLOOKUP(AU10,AN8:AO33,2,FALSE))</f>
        <v>Nvt</v>
      </c>
      <c r="AW10" s="170" t="str">
        <f>IF(AND(AR10&lt;1,AT10=1),"K0",AV10)</f>
        <v>Nvt</v>
      </c>
      <c r="AX10" s="165" t="s">
        <v>1647</v>
      </c>
      <c r="AY10" s="135" t="s">
        <v>28</v>
      </c>
      <c r="AZ10" s="206">
        <f>VLOOKUP(AY10,'Tarieven ZIN prestaties'!$B$1:$D$84,2,FALSE)</f>
        <v>71.48</v>
      </c>
      <c r="BA10" s="207"/>
      <c r="BB10" s="173"/>
      <c r="BC10" s="208"/>
      <c r="BD10" s="181" t="s">
        <v>1267</v>
      </c>
      <c r="BE10" s="209">
        <v>766</v>
      </c>
      <c r="BF10" s="182" t="s">
        <v>1278</v>
      </c>
      <c r="BG10" s="210">
        <f>VLOOKUP(BD10,'PGB tarieven'!$A$7:$M$53,13,FALSE)</f>
        <v>47234.608062555199</v>
      </c>
      <c r="BH10" s="211">
        <f t="shared" si="5"/>
        <v>905.8691957202368</v>
      </c>
      <c r="BI10" s="193"/>
      <c r="BJ10" s="193"/>
      <c r="BK10" s="212" t="s">
        <v>1217</v>
      </c>
      <c r="BL10" s="175">
        <f>VLOOKUP(BK10,'Ruimte behandeling basis MPT'!$A$2:$H$41,8,FALSE)</f>
        <v>158.34000000000003</v>
      </c>
      <c r="BM10" s="176" t="s">
        <v>1598</v>
      </c>
      <c r="BN10" s="195">
        <v>0</v>
      </c>
      <c r="BO10" s="178"/>
      <c r="BP10" s="178"/>
      <c r="BQ10" s="227" t="e">
        <f>IF(BQ7=BQ8,BQ7,SUM(BQ6:BQ9))</f>
        <v>#N/A</v>
      </c>
      <c r="BR10" s="179"/>
      <c r="BS10" s="179"/>
      <c r="BT10" s="179"/>
      <c r="BU10" s="179"/>
      <c r="BV10" s="179"/>
      <c r="BW10" s="179"/>
      <c r="BX10" s="179"/>
      <c r="BY10" s="214" t="s">
        <v>1547</v>
      </c>
      <c r="BZ10" s="214">
        <v>3</v>
      </c>
      <c r="CA10" s="228" t="s">
        <v>1255</v>
      </c>
      <c r="CB10" s="229">
        <v>82.37</v>
      </c>
      <c r="CC10" s="229" t="s">
        <v>44</v>
      </c>
      <c r="CD10" s="214"/>
      <c r="CE10" s="214"/>
      <c r="CF10" s="214"/>
      <c r="CG10" s="214"/>
      <c r="CH10" s="214"/>
      <c r="CI10" s="181" t="s">
        <v>1267</v>
      </c>
      <c r="CJ10" s="209" t="s">
        <v>1633</v>
      </c>
      <c r="CK10" s="215" t="s">
        <v>1244</v>
      </c>
      <c r="CL10" s="230" t="s">
        <v>1266</v>
      </c>
      <c r="CM10" s="231">
        <v>864</v>
      </c>
      <c r="CN10" s="232">
        <v>1497</v>
      </c>
      <c r="CO10" s="232">
        <f t="shared" si="8"/>
        <v>28.78846153846154</v>
      </c>
      <c r="CP10" s="232">
        <v>1281</v>
      </c>
      <c r="CQ10" s="232">
        <f t="shared" si="9"/>
        <v>24.634615384615383</v>
      </c>
      <c r="CR10" s="232">
        <v>22788</v>
      </c>
      <c r="CS10" s="232">
        <f t="shared" si="10"/>
        <v>438.23076923076923</v>
      </c>
      <c r="CT10" s="232">
        <v>10974</v>
      </c>
      <c r="CU10" s="232">
        <f t="shared" si="11"/>
        <v>211.03846153846155</v>
      </c>
      <c r="CV10" s="232">
        <v>3357</v>
      </c>
      <c r="CW10" s="232">
        <v>39897</v>
      </c>
      <c r="CX10" s="233">
        <v>36540</v>
      </c>
      <c r="CY10" s="185" t="s">
        <v>1255</v>
      </c>
      <c r="CZ10" s="170">
        <f>SUMIF($B$18:$B$31,"VP",$F$18:$F$31)</f>
        <v>0</v>
      </c>
      <c r="DA10" s="170">
        <f>CZ10/60</f>
        <v>0</v>
      </c>
      <c r="DB10" s="135">
        <v>20</v>
      </c>
      <c r="DC10" s="135">
        <f>DA10-DB10</f>
        <v>-20</v>
      </c>
      <c r="DD10" s="135">
        <f t="shared" si="6"/>
        <v>0</v>
      </c>
      <c r="DE10" s="135" t="s">
        <v>1631</v>
      </c>
      <c r="DF10" s="135" t="s">
        <v>1554</v>
      </c>
      <c r="DK10" s="135">
        <f t="shared" si="2"/>
        <v>0</v>
      </c>
      <c r="DL10" s="135">
        <f t="shared" si="3"/>
        <v>0</v>
      </c>
      <c r="DM10" s="135">
        <f t="shared" si="4"/>
        <v>0</v>
      </c>
      <c r="DO10" s="142" t="s">
        <v>1666</v>
      </c>
      <c r="DP10" s="142" t="s">
        <v>1666</v>
      </c>
      <c r="DQ10" s="142" t="s">
        <v>1666</v>
      </c>
      <c r="DR10" s="142" t="s">
        <v>2653</v>
      </c>
      <c r="DS10" s="142" t="s">
        <v>2689</v>
      </c>
      <c r="DU10" s="181" t="s">
        <v>1269</v>
      </c>
      <c r="DV10" s="182" t="s">
        <v>1278</v>
      </c>
      <c r="DW10" s="135" t="s">
        <v>1598</v>
      </c>
      <c r="DX10" s="135">
        <v>0</v>
      </c>
      <c r="DY10" s="200">
        <v>27</v>
      </c>
      <c r="EK10" s="135">
        <f>IFERROR(VLOOKUP(G10,FI2:FJ49,2,FALSE),0)</f>
        <v>0</v>
      </c>
      <c r="EP10" s="135" t="s">
        <v>2764</v>
      </c>
      <c r="ET10" s="135" t="s">
        <v>2817</v>
      </c>
      <c r="EU10" s="135" t="s">
        <v>2929</v>
      </c>
      <c r="EY10" s="135" t="s">
        <v>1596</v>
      </c>
      <c r="EZ10" s="135" t="s">
        <v>2820</v>
      </c>
      <c r="FA10" s="135" t="s">
        <v>3360</v>
      </c>
      <c r="FB10" s="135" t="str">
        <f t="shared" si="7"/>
        <v>9vvbOpname</v>
      </c>
      <c r="FC10" s="156">
        <f>VLOOKUP(EZ10,'Tarieven ZZP'!$D$6:$J$134,7,FALSE)</f>
        <v>300.63</v>
      </c>
      <c r="FD10" s="156">
        <f t="shared" si="1"/>
        <v>2104.41</v>
      </c>
      <c r="FI10" s="181" t="s">
        <v>1231</v>
      </c>
      <c r="FJ10" s="135">
        <v>1</v>
      </c>
    </row>
    <row r="11" spans="1:166" ht="19.5" customHeight="1" thickBot="1" x14ac:dyDescent="0.4">
      <c r="A11" s="302"/>
      <c r="B11" s="335"/>
      <c r="C11" s="335"/>
      <c r="D11" s="335"/>
      <c r="E11" s="302"/>
      <c r="F11" s="302"/>
      <c r="G11" s="303"/>
      <c r="H11" s="303"/>
      <c r="I11" s="302"/>
      <c r="J11" s="302"/>
      <c r="K11" s="302"/>
      <c r="L11" s="302"/>
      <c r="M11" s="316" t="s">
        <v>1622</v>
      </c>
      <c r="N11" s="306"/>
      <c r="O11" s="486"/>
      <c r="P11" s="486"/>
      <c r="Q11" s="486"/>
      <c r="R11" s="486"/>
      <c r="S11" s="302"/>
      <c r="T11" s="220" t="s">
        <v>3351</v>
      </c>
      <c r="U11" s="221" t="s">
        <v>3352</v>
      </c>
      <c r="V11" s="383" t="s">
        <v>1217</v>
      </c>
      <c r="W11" s="223" t="s">
        <v>1222</v>
      </c>
      <c r="X11" s="224" t="s">
        <v>1267</v>
      </c>
      <c r="Y11" s="224" t="s">
        <v>1241</v>
      </c>
      <c r="Z11" s="224" t="s">
        <v>1201</v>
      </c>
      <c r="AA11" s="225" t="s">
        <v>1212</v>
      </c>
      <c r="AB11" s="140">
        <v>0.91500000000000004</v>
      </c>
      <c r="AC11" s="141" t="s">
        <v>1661</v>
      </c>
      <c r="AD11" s="135" t="s">
        <v>1635</v>
      </c>
      <c r="AE11" s="142" t="s">
        <v>1741</v>
      </c>
      <c r="AF11" s="143"/>
      <c r="AG11" s="144" t="s">
        <v>1802</v>
      </c>
      <c r="AH11" s="135" t="s">
        <v>1645</v>
      </c>
      <c r="AI11" s="135" t="s">
        <v>1650</v>
      </c>
      <c r="AJ11" s="135" t="s">
        <v>2807</v>
      </c>
      <c r="AK11" s="135" t="s">
        <v>2767</v>
      </c>
      <c r="AL11" s="135" t="s">
        <v>3558</v>
      </c>
      <c r="AM11" s="145" t="s">
        <v>1652</v>
      </c>
      <c r="AN11" s="170">
        <v>3</v>
      </c>
      <c r="AO11" s="170" t="s">
        <v>1547</v>
      </c>
      <c r="AP11" s="185" t="s">
        <v>1545</v>
      </c>
      <c r="AQ11" s="170">
        <f>SUMIF($B$18:$B$31,"bhind",$F$18:$F$31)</f>
        <v>0</v>
      </c>
      <c r="AR11" s="170">
        <f>AQ11/60</f>
        <v>0</v>
      </c>
      <c r="AS11" s="170">
        <f>FLOOR(AR11,1)</f>
        <v>0</v>
      </c>
      <c r="AT11" s="170">
        <f>IF(AQ11&gt;0,1,0)</f>
        <v>0</v>
      </c>
      <c r="AU11" s="170">
        <f>IF(AS11+AT11&lt;=1,AT11,AS11)</f>
        <v>0</v>
      </c>
      <c r="AV11" s="239" t="str">
        <f>IF(AU11&gt;0,99,"Nvt")</f>
        <v>Nvt</v>
      </c>
      <c r="AW11" s="170"/>
      <c r="AX11" s="240" t="s">
        <v>1796</v>
      </c>
      <c r="AY11" s="144" t="s">
        <v>1797</v>
      </c>
      <c r="AZ11" s="206">
        <f>VLOOKUP(AY11,'Tarieven ZIN prestaties'!$B$1:$D$84,2,FALSE)</f>
        <v>32.39</v>
      </c>
      <c r="BA11" s="207"/>
      <c r="BB11" s="173" t="s">
        <v>1593</v>
      </c>
      <c r="BC11" s="208">
        <f ca="1">SUM(BC7:BC8)</f>
        <v>0</v>
      </c>
      <c r="BD11" s="181" t="s">
        <v>1268</v>
      </c>
      <c r="BE11" s="209">
        <v>768</v>
      </c>
      <c r="BF11" s="182" t="s">
        <v>1278</v>
      </c>
      <c r="BG11" s="210">
        <f>VLOOKUP(BD11,'PGB tarieven'!$A$7:$M$53,13,FALSE)</f>
        <v>52629</v>
      </c>
      <c r="BH11" s="211">
        <f t="shared" si="5"/>
        <v>1009.3232876712329</v>
      </c>
      <c r="BI11" s="193"/>
      <c r="BJ11" s="193"/>
      <c r="BK11" s="212" t="s">
        <v>1218</v>
      </c>
      <c r="BL11" s="175">
        <f>VLOOKUP(BK11,'Ruimte behandeling basis MPT'!$A$2:$H$41,8,FALSE)</f>
        <v>170.80000000000004</v>
      </c>
      <c r="BM11" s="135">
        <f>IF(R21="ja",BN6,BN10)</f>
        <v>0</v>
      </c>
      <c r="BN11" s="135">
        <f>IFERROR(VLOOKUP(Q22,BM5:BN10,2,0),0)</f>
        <v>0</v>
      </c>
      <c r="BQ11" s="156" t="e">
        <f>SUM(BQ7:BQ9)</f>
        <v>#N/A</v>
      </c>
      <c r="BR11" s="179" t="s">
        <v>1609</v>
      </c>
      <c r="BS11" s="179"/>
      <c r="BT11" s="196">
        <f>T19</f>
        <v>0</v>
      </c>
      <c r="BU11" s="179"/>
      <c r="BV11" s="179" t="s">
        <v>1730</v>
      </c>
      <c r="BW11" s="241">
        <v>0</v>
      </c>
      <c r="BX11" s="179"/>
      <c r="BY11" s="214" t="s">
        <v>1548</v>
      </c>
      <c r="BZ11" s="214">
        <v>5.5</v>
      </c>
      <c r="CA11" s="228" t="s">
        <v>1545</v>
      </c>
      <c r="CB11" s="229">
        <v>155.15</v>
      </c>
      <c r="CC11" s="229" t="s">
        <v>421</v>
      </c>
      <c r="CD11" s="214"/>
      <c r="CE11" s="214"/>
      <c r="CF11" s="214"/>
      <c r="CG11" s="242"/>
      <c r="CH11" s="214"/>
      <c r="CI11" s="181" t="s">
        <v>1268</v>
      </c>
      <c r="CJ11" s="209" t="s">
        <v>1633</v>
      </c>
      <c r="CK11" s="215" t="s">
        <v>1244</v>
      </c>
      <c r="CL11" s="235" t="s">
        <v>1267</v>
      </c>
      <c r="CM11" s="236">
        <v>766</v>
      </c>
      <c r="CN11" s="237">
        <v>8220</v>
      </c>
      <c r="CO11" s="232">
        <f t="shared" si="8"/>
        <v>158.07692307692307</v>
      </c>
      <c r="CP11" s="237">
        <v>3845</v>
      </c>
      <c r="CQ11" s="232">
        <f t="shared" si="9"/>
        <v>73.942307692307693</v>
      </c>
      <c r="CR11" s="237">
        <v>16866</v>
      </c>
      <c r="CS11" s="232">
        <f t="shared" si="10"/>
        <v>324.34615384615387</v>
      </c>
      <c r="CT11" s="237">
        <v>10974</v>
      </c>
      <c r="CU11" s="232">
        <f t="shared" si="11"/>
        <v>211.03846153846155</v>
      </c>
      <c r="CV11" s="237">
        <v>3357</v>
      </c>
      <c r="CW11" s="237">
        <v>43262</v>
      </c>
      <c r="CX11" s="233">
        <v>39905</v>
      </c>
      <c r="CY11" s="185" t="s">
        <v>1545</v>
      </c>
      <c r="CZ11" s="170">
        <f>SUMIF($B$18:$B$31,"bhind",$F$18:$F$31)</f>
        <v>0</v>
      </c>
      <c r="DA11" s="170">
        <f>CZ11/60</f>
        <v>0</v>
      </c>
      <c r="DB11" s="243" t="s">
        <v>1244</v>
      </c>
      <c r="DC11" s="135">
        <f>IFERROR(DA11-DB11,0)</f>
        <v>0</v>
      </c>
      <c r="DD11" s="135">
        <f t="shared" si="6"/>
        <v>0</v>
      </c>
      <c r="DE11" s="135" t="s">
        <v>1598</v>
      </c>
      <c r="DG11" s="135" t="s">
        <v>1723</v>
      </c>
      <c r="DH11" s="135" t="s">
        <v>1723</v>
      </c>
      <c r="DI11" s="135" t="s">
        <v>1807</v>
      </c>
      <c r="DK11" s="135">
        <f t="shared" si="2"/>
        <v>0</v>
      </c>
      <c r="DL11" s="135">
        <f t="shared" si="3"/>
        <v>0</v>
      </c>
      <c r="DM11" s="135">
        <f t="shared" si="4"/>
        <v>0</v>
      </c>
      <c r="DN11" s="136"/>
      <c r="DO11" s="142" t="s">
        <v>1741</v>
      </c>
      <c r="DP11" s="142" t="s">
        <v>1741</v>
      </c>
      <c r="DQ11" s="142" t="s">
        <v>1741</v>
      </c>
      <c r="DR11" s="142" t="s">
        <v>2654</v>
      </c>
      <c r="DS11" s="142" t="s">
        <v>2690</v>
      </c>
      <c r="DU11" s="181" t="s">
        <v>1270</v>
      </c>
      <c r="DV11" s="182" t="s">
        <v>1278</v>
      </c>
      <c r="DW11" s="135" t="s">
        <v>1598</v>
      </c>
      <c r="DX11" s="136">
        <v>0</v>
      </c>
      <c r="DY11" s="136">
        <v>33</v>
      </c>
      <c r="EK11" s="135">
        <f>IF(F5="opname",6,IF(F5="VPT",10,0))</f>
        <v>0</v>
      </c>
      <c r="EP11" s="135" t="s">
        <v>2765</v>
      </c>
      <c r="ET11" s="135" t="s">
        <v>2810</v>
      </c>
      <c r="EU11" s="135" t="s">
        <v>2770</v>
      </c>
      <c r="EY11" s="135" t="s">
        <v>2665</v>
      </c>
      <c r="EZ11" s="135" t="s">
        <v>2821</v>
      </c>
      <c r="FA11" s="135" t="s">
        <v>3360</v>
      </c>
      <c r="FB11" s="135" t="str">
        <f t="shared" si="7"/>
        <v>10vvOpname</v>
      </c>
      <c r="FC11" s="156">
        <f>VLOOKUP(EZ11,'Tarieven ZZP'!$D$6:$J$134,7,FALSE)</f>
        <v>354.15</v>
      </c>
      <c r="FD11" s="156">
        <f t="shared" si="1"/>
        <v>2479.0499999999997</v>
      </c>
      <c r="FI11" s="181" t="s">
        <v>1232</v>
      </c>
      <c r="FJ11" s="135">
        <v>1</v>
      </c>
    </row>
    <row r="12" spans="1:166" ht="19.5" customHeight="1" thickBot="1" x14ac:dyDescent="0.4">
      <c r="A12" s="302"/>
      <c r="B12" s="342" t="s">
        <v>1693</v>
      </c>
      <c r="C12" s="335"/>
      <c r="D12" s="335"/>
      <c r="E12" s="302"/>
      <c r="F12" s="302"/>
      <c r="G12" s="466"/>
      <c r="H12" s="466"/>
      <c r="I12" s="302"/>
      <c r="J12" s="302"/>
      <c r="K12" s="302"/>
      <c r="L12" s="302"/>
      <c r="M12" s="329">
        <f>IF(OR(Q22="",Q22="Nee",BM12&lt;0),0,BM12)</f>
        <v>0</v>
      </c>
      <c r="N12" s="316"/>
      <c r="O12" s="484" t="s">
        <v>2715</v>
      </c>
      <c r="P12" s="484"/>
      <c r="Q12" s="484"/>
      <c r="R12" s="484"/>
      <c r="S12" s="484"/>
      <c r="T12" s="220" t="s">
        <v>1564</v>
      </c>
      <c r="U12" s="221" t="s">
        <v>1566</v>
      </c>
      <c r="V12" s="222" t="s">
        <v>1219</v>
      </c>
      <c r="W12" s="223" t="s">
        <v>1223</v>
      </c>
      <c r="X12" s="224" t="s">
        <v>1268</v>
      </c>
      <c r="Y12" s="224" t="s">
        <v>1242</v>
      </c>
      <c r="Z12" s="224" t="s">
        <v>1202</v>
      </c>
      <c r="AA12" s="225" t="s">
        <v>1213</v>
      </c>
      <c r="AB12" s="140">
        <v>0.92</v>
      </c>
      <c r="AC12" s="141" t="s">
        <v>1662</v>
      </c>
      <c r="AD12" s="135" t="s">
        <v>1636</v>
      </c>
      <c r="AE12" s="142" t="s">
        <v>1742</v>
      </c>
      <c r="AF12" s="143"/>
      <c r="AG12" s="144" t="s">
        <v>1803</v>
      </c>
      <c r="AH12" s="146"/>
      <c r="AI12" s="135" t="s">
        <v>1651</v>
      </c>
      <c r="AJ12" s="135" t="s">
        <v>2808</v>
      </c>
      <c r="AK12" s="135" t="s">
        <v>2768</v>
      </c>
      <c r="AL12" s="135" t="s">
        <v>3559</v>
      </c>
      <c r="AM12" s="145" t="s">
        <v>1654</v>
      </c>
      <c r="AN12" s="170">
        <v>4</v>
      </c>
      <c r="AO12" s="170" t="s">
        <v>1548</v>
      </c>
      <c r="AP12" s="185" t="s">
        <v>1543</v>
      </c>
      <c r="AQ12" s="170">
        <f>AV16+AV19</f>
        <v>0</v>
      </c>
      <c r="AR12" s="185" t="s">
        <v>1244</v>
      </c>
      <c r="AS12" s="170">
        <f>AQ12</f>
        <v>0</v>
      </c>
      <c r="AT12" s="170" t="s">
        <v>1244</v>
      </c>
      <c r="AU12" s="170">
        <f>IF(AS12&lt;=9,AS12,9)</f>
        <v>0</v>
      </c>
      <c r="AV12" s="170" t="str">
        <f>VLOOKUP(AU12,AP16:AQ25,2,FALSE)</f>
        <v>Nvt</v>
      </c>
      <c r="AW12" s="170"/>
      <c r="AX12" s="165" t="s">
        <v>1649</v>
      </c>
      <c r="AY12" s="135" t="s">
        <v>34</v>
      </c>
      <c r="AZ12" s="206">
        <f>VLOOKUP(AY12,'Tarieven ZIN prestaties'!$B$1:$D$84,2,FALSE)</f>
        <v>71.48</v>
      </c>
      <c r="BA12" s="207"/>
      <c r="BB12" s="173"/>
      <c r="BC12" s="173"/>
      <c r="BD12" s="181" t="s">
        <v>1269</v>
      </c>
      <c r="BE12" s="209">
        <v>770</v>
      </c>
      <c r="BF12" s="182" t="s">
        <v>1278</v>
      </c>
      <c r="BG12" s="210">
        <f>VLOOKUP(BD12,'PGB tarieven'!$A$7:$M$53,13,FALSE)</f>
        <v>62801.608062555199</v>
      </c>
      <c r="BH12" s="211">
        <f t="shared" si="5"/>
        <v>1204.4144011996887</v>
      </c>
      <c r="BI12" s="193"/>
      <c r="BJ12" s="193"/>
      <c r="BK12" s="212" t="s">
        <v>1219</v>
      </c>
      <c r="BL12" s="175">
        <f>VLOOKUP(BK12,'Ruimte behandeling basis MPT'!$A$2:$H$41,8,FALSE)</f>
        <v>170.7300000000001</v>
      </c>
      <c r="BM12" s="156">
        <f>BN11-BM15</f>
        <v>0</v>
      </c>
      <c r="BN12" s="135" t="s">
        <v>1689</v>
      </c>
      <c r="BO12" s="135">
        <v>211.42</v>
      </c>
      <c r="BP12" s="135">
        <f>BO12*7</f>
        <v>1479.9399999999998</v>
      </c>
      <c r="BR12" s="179" t="s">
        <v>1610</v>
      </c>
      <c r="BS12" s="179"/>
      <c r="BT12" s="196">
        <f ca="1">I33</f>
        <v>0</v>
      </c>
      <c r="BU12" s="179"/>
      <c r="BV12" s="179" t="s">
        <v>1731</v>
      </c>
      <c r="BW12" s="196">
        <f>BW11/365*7</f>
        <v>0</v>
      </c>
      <c r="BX12" s="179"/>
      <c r="BY12" s="214" t="s">
        <v>1549</v>
      </c>
      <c r="BZ12" s="214">
        <v>8.5</v>
      </c>
      <c r="CA12" s="228" t="s">
        <v>1543</v>
      </c>
      <c r="CB12" s="229">
        <v>147.47</v>
      </c>
      <c r="CC12" s="228" t="s">
        <v>401</v>
      </c>
      <c r="CD12" s="214"/>
      <c r="CE12" s="214"/>
      <c r="CF12" s="214"/>
      <c r="CG12" s="214"/>
      <c r="CH12" s="214"/>
      <c r="CI12" s="181" t="s">
        <v>1269</v>
      </c>
      <c r="CJ12" s="209" t="s">
        <v>1633</v>
      </c>
      <c r="CK12" s="215" t="s">
        <v>1244</v>
      </c>
      <c r="CL12" s="230" t="s">
        <v>1268</v>
      </c>
      <c r="CM12" s="231">
        <v>768</v>
      </c>
      <c r="CN12" s="232">
        <v>4491</v>
      </c>
      <c r="CO12" s="232">
        <f t="shared" si="8"/>
        <v>86.365384615384613</v>
      </c>
      <c r="CP12" s="232">
        <v>3845</v>
      </c>
      <c r="CQ12" s="232">
        <f t="shared" si="9"/>
        <v>73.942307692307693</v>
      </c>
      <c r="CR12" s="232">
        <v>22788</v>
      </c>
      <c r="CS12" s="232">
        <f t="shared" si="10"/>
        <v>438.23076923076923</v>
      </c>
      <c r="CT12" s="232">
        <v>13721</v>
      </c>
      <c r="CU12" s="232">
        <f t="shared" si="11"/>
        <v>263.86538461538464</v>
      </c>
      <c r="CV12" s="232">
        <v>3357</v>
      </c>
      <c r="CW12" s="232">
        <v>48202</v>
      </c>
      <c r="CX12" s="233">
        <v>44845</v>
      </c>
      <c r="CY12" s="185" t="s">
        <v>1543</v>
      </c>
      <c r="CZ12" s="170">
        <f>DA19+CZ20</f>
        <v>0</v>
      </c>
      <c r="DA12" s="246">
        <f>CEILING(CZ12,1)</f>
        <v>0</v>
      </c>
      <c r="DB12" s="135">
        <v>9</v>
      </c>
      <c r="DC12" s="135">
        <f>DA12-DB12</f>
        <v>-9</v>
      </c>
      <c r="DD12" s="135">
        <f t="shared" si="6"/>
        <v>0</v>
      </c>
      <c r="DG12" s="135" t="s">
        <v>1724</v>
      </c>
      <c r="DH12" s="135" t="s">
        <v>1724</v>
      </c>
      <c r="DI12" s="136" t="s">
        <v>1808</v>
      </c>
      <c r="DJ12" s="136"/>
      <c r="DK12" s="135">
        <f t="shared" si="2"/>
        <v>0</v>
      </c>
      <c r="DL12" s="135">
        <f t="shared" si="3"/>
        <v>0</v>
      </c>
      <c r="DM12" s="135">
        <f t="shared" si="4"/>
        <v>0</v>
      </c>
      <c r="DO12" s="142" t="s">
        <v>1742</v>
      </c>
      <c r="DP12" s="142" t="s">
        <v>1742</v>
      </c>
      <c r="DQ12" s="142" t="s">
        <v>1742</v>
      </c>
      <c r="DR12" s="142" t="s">
        <v>2655</v>
      </c>
      <c r="DS12" s="142" t="s">
        <v>2689</v>
      </c>
      <c r="DU12" s="181" t="s">
        <v>1230</v>
      </c>
      <c r="DV12" s="182" t="s">
        <v>1278</v>
      </c>
      <c r="DW12" s="135" t="s">
        <v>1598</v>
      </c>
      <c r="DX12" s="136">
        <v>0</v>
      </c>
      <c r="DY12" s="200">
        <v>11.5</v>
      </c>
      <c r="EK12" s="135">
        <f>SUM(EK10:EK11)</f>
        <v>0</v>
      </c>
      <c r="EO12" s="135" t="s">
        <v>2804</v>
      </c>
      <c r="EP12" s="135" t="s">
        <v>2766</v>
      </c>
      <c r="ET12" s="135" t="s">
        <v>2818</v>
      </c>
      <c r="EU12" s="135" t="s">
        <v>2930</v>
      </c>
      <c r="EY12" s="135" t="s">
        <v>2648</v>
      </c>
      <c r="EZ12" s="135" t="s">
        <v>2838</v>
      </c>
      <c r="FA12" s="135" t="s">
        <v>3360</v>
      </c>
      <c r="FB12" s="135" t="str">
        <f t="shared" si="7"/>
        <v>1vgOpname</v>
      </c>
      <c r="FC12" s="156">
        <f>VLOOKUP(EZ12,'Tarieven ZZP'!$D$6:$J$134,7,FALSE)</f>
        <v>128.72</v>
      </c>
      <c r="FD12" s="156">
        <f t="shared" si="1"/>
        <v>901.04</v>
      </c>
      <c r="FI12" s="181" t="s">
        <v>1233</v>
      </c>
      <c r="FJ12" s="135">
        <v>1</v>
      </c>
    </row>
    <row r="13" spans="1:166" ht="19.5" customHeight="1" thickBot="1" x14ac:dyDescent="0.35">
      <c r="A13" s="302"/>
      <c r="B13" s="335"/>
      <c r="C13" s="335"/>
      <c r="D13" s="335"/>
      <c r="E13" s="302"/>
      <c r="F13" s="302"/>
      <c r="G13" s="303"/>
      <c r="H13" s="303"/>
      <c r="I13" s="303"/>
      <c r="J13" s="303"/>
      <c r="K13" s="303"/>
      <c r="L13" s="302"/>
      <c r="M13" s="320"/>
      <c r="N13" s="306"/>
      <c r="O13" s="323" t="s">
        <v>2748</v>
      </c>
      <c r="P13" s="324"/>
      <c r="Q13" s="323"/>
      <c r="R13" s="323"/>
      <c r="S13" s="320"/>
      <c r="T13" s="244" t="s">
        <v>1795</v>
      </c>
      <c r="U13" s="245" t="s">
        <v>1565</v>
      </c>
      <c r="V13" s="238" t="s">
        <v>1220</v>
      </c>
      <c r="W13" s="223"/>
      <c r="X13" s="224" t="s">
        <v>1269</v>
      </c>
      <c r="Y13" s="224" t="s">
        <v>1243</v>
      </c>
      <c r="Z13" s="224" t="s">
        <v>1203</v>
      </c>
      <c r="AA13" s="225" t="s">
        <v>1205</v>
      </c>
      <c r="AB13" s="140">
        <v>0.92500000000000004</v>
      </c>
      <c r="AC13" s="141" t="s">
        <v>1663</v>
      </c>
      <c r="AD13" s="135" t="s">
        <v>1637</v>
      </c>
      <c r="AE13" s="142" t="s">
        <v>1743</v>
      </c>
      <c r="AF13" s="143"/>
      <c r="AG13" s="147"/>
      <c r="AH13" s="146"/>
      <c r="AI13" s="148"/>
      <c r="AJ13" s="135" t="s">
        <v>2809</v>
      </c>
      <c r="AK13" s="135" t="s">
        <v>2769</v>
      </c>
      <c r="AL13" s="135" t="s">
        <v>3560</v>
      </c>
      <c r="AM13" s="145" t="s">
        <v>1655</v>
      </c>
      <c r="AN13" s="170">
        <v>5</v>
      </c>
      <c r="AO13" s="170" t="s">
        <v>1548</v>
      </c>
      <c r="AP13" s="185" t="s">
        <v>1544</v>
      </c>
      <c r="AQ13" s="170">
        <f>SUMIF($B$18:$B$31,"BHgrp",$F$18:$F$31)</f>
        <v>0</v>
      </c>
      <c r="AR13" s="185" t="s">
        <v>1244</v>
      </c>
      <c r="AS13" s="170">
        <f>AQ13</f>
        <v>0</v>
      </c>
      <c r="AT13" s="170" t="s">
        <v>1244</v>
      </c>
      <c r="AU13" s="170">
        <f>IF(AS13&lt;=9,AS13,9)</f>
        <v>0</v>
      </c>
      <c r="AV13" s="170" t="str">
        <f>VLOOKUP(AU13,AP16:AQ25,2,FALSE)</f>
        <v>Nvt</v>
      </c>
      <c r="AW13" s="170"/>
      <c r="AX13" s="165" t="s">
        <v>1648</v>
      </c>
      <c r="AY13" s="135" t="s">
        <v>38</v>
      </c>
      <c r="AZ13" s="206">
        <f>VLOOKUP(AY13,'Tarieven ZIN prestaties'!$B$1:$D$84,2,FALSE)</f>
        <v>54.96</v>
      </c>
      <c r="BA13" s="207"/>
      <c r="BB13" s="173" t="s">
        <v>1594</v>
      </c>
      <c r="BC13" s="208">
        <f ca="1">SUM(I18:I31)-I33</f>
        <v>0</v>
      </c>
      <c r="BD13" s="181" t="s">
        <v>1270</v>
      </c>
      <c r="BE13" s="209">
        <v>772</v>
      </c>
      <c r="BF13" s="182" t="s">
        <v>1278</v>
      </c>
      <c r="BG13" s="210">
        <f>VLOOKUP(BD13,'PGB tarieven'!$A$7:$M$53,13,FALSE)</f>
        <v>74976</v>
      </c>
      <c r="BH13" s="211">
        <f t="shared" si="5"/>
        <v>1437.8958904109591</v>
      </c>
      <c r="BI13" s="193"/>
      <c r="BJ13" s="193"/>
      <c r="BK13" s="212" t="s">
        <v>1220</v>
      </c>
      <c r="BL13" s="175">
        <f>VLOOKUP(BK13,'Ruimte behandeling basis MPT'!$A$2:$H$41,8,FALSE)</f>
        <v>230.51000000000005</v>
      </c>
      <c r="BM13" s="135">
        <f>IF(R21="ja",0,BQ2)</f>
        <v>0</v>
      </c>
      <c r="BN13" s="135" t="s">
        <v>1690</v>
      </c>
      <c r="BO13" s="135">
        <v>39.69</v>
      </c>
      <c r="BP13" s="135">
        <f>BO13*7</f>
        <v>277.83</v>
      </c>
      <c r="BR13" s="179"/>
      <c r="BS13" s="179"/>
      <c r="BT13" s="196">
        <f ca="1">BT11-BT12</f>
        <v>0</v>
      </c>
      <c r="BU13" s="179"/>
      <c r="BV13" s="179"/>
      <c r="BW13" s="179"/>
      <c r="BX13" s="179"/>
      <c r="BY13" s="214" t="s">
        <v>1550</v>
      </c>
      <c r="BZ13" s="214">
        <v>11.5</v>
      </c>
      <c r="CA13" s="228" t="s">
        <v>1544</v>
      </c>
      <c r="CB13" s="229">
        <v>147.47</v>
      </c>
      <c r="CC13" s="228" t="s">
        <v>401</v>
      </c>
      <c r="CD13" s="214"/>
      <c r="CE13" s="214"/>
      <c r="CF13" s="214"/>
      <c r="CG13" s="214"/>
      <c r="CH13" s="214"/>
      <c r="CI13" s="181" t="s">
        <v>1270</v>
      </c>
      <c r="CJ13" s="209" t="s">
        <v>1633</v>
      </c>
      <c r="CK13" s="215" t="s">
        <v>1244</v>
      </c>
      <c r="CL13" s="235" t="s">
        <v>1269</v>
      </c>
      <c r="CM13" s="236">
        <v>770</v>
      </c>
      <c r="CN13" s="237">
        <v>12711</v>
      </c>
      <c r="CO13" s="232">
        <f t="shared" si="8"/>
        <v>244.44230769230768</v>
      </c>
      <c r="CP13" s="237">
        <v>7690</v>
      </c>
      <c r="CQ13" s="232">
        <f t="shared" si="9"/>
        <v>147.88461538461539</v>
      </c>
      <c r="CR13" s="237">
        <v>22788</v>
      </c>
      <c r="CS13" s="232">
        <f t="shared" si="10"/>
        <v>438.23076923076923</v>
      </c>
      <c r="CT13" s="237">
        <v>10974</v>
      </c>
      <c r="CU13" s="232">
        <f t="shared" si="11"/>
        <v>211.03846153846155</v>
      </c>
      <c r="CV13" s="237">
        <v>3357</v>
      </c>
      <c r="CW13" s="237">
        <v>57520</v>
      </c>
      <c r="CX13" s="233">
        <v>54163</v>
      </c>
      <c r="CY13" s="185" t="s">
        <v>1544</v>
      </c>
      <c r="CZ13" s="170">
        <f>SUMIF($B$18:$B$31,"BHgrp",$F$18:$F$31)</f>
        <v>0</v>
      </c>
      <c r="DA13" s="246">
        <f>CZ13</f>
        <v>0</v>
      </c>
      <c r="DB13" s="135">
        <v>9</v>
      </c>
      <c r="DC13" s="135">
        <f>DA13-DB13</f>
        <v>-9</v>
      </c>
      <c r="DD13" s="135">
        <f t="shared" si="6"/>
        <v>0</v>
      </c>
      <c r="DG13" s="136" t="s">
        <v>1697</v>
      </c>
      <c r="DH13" s="136" t="s">
        <v>1697</v>
      </c>
      <c r="DI13" s="136" t="s">
        <v>1809</v>
      </c>
      <c r="DK13" s="135">
        <f t="shared" si="2"/>
        <v>0</v>
      </c>
      <c r="DL13" s="135">
        <f t="shared" si="3"/>
        <v>0</v>
      </c>
      <c r="DM13" s="135">
        <f t="shared" si="4"/>
        <v>0</v>
      </c>
      <c r="DO13" s="142" t="s">
        <v>1743</v>
      </c>
      <c r="DP13" s="142" t="s">
        <v>1743</v>
      </c>
      <c r="DQ13" s="142" t="s">
        <v>1743</v>
      </c>
      <c r="DR13" s="142" t="s">
        <v>2656</v>
      </c>
      <c r="DS13" s="142" t="s">
        <v>1543</v>
      </c>
      <c r="DU13" s="181" t="s">
        <v>1231</v>
      </c>
      <c r="DV13" s="182" t="s">
        <v>1278</v>
      </c>
      <c r="DW13" s="135" t="s">
        <v>1598</v>
      </c>
      <c r="DX13" s="136">
        <v>0</v>
      </c>
      <c r="DY13" s="136">
        <v>14.5</v>
      </c>
      <c r="EO13" s="135" t="s">
        <v>2805</v>
      </c>
      <c r="EP13" s="135" t="s">
        <v>2926</v>
      </c>
      <c r="ET13" s="135" t="s">
        <v>2811</v>
      </c>
      <c r="EU13" s="135" t="s">
        <v>2771</v>
      </c>
      <c r="EY13" s="135" t="s">
        <v>2649</v>
      </c>
      <c r="EZ13" s="135" t="s">
        <v>2839</v>
      </c>
      <c r="FA13" s="135" t="s">
        <v>3360</v>
      </c>
      <c r="FB13" s="135" t="str">
        <f t="shared" si="7"/>
        <v>2vgOpname</v>
      </c>
      <c r="FC13" s="156">
        <f>VLOOKUP(EZ13,'Tarieven ZZP'!$D$6:$J$134,7,FALSE)</f>
        <v>143.11000000000001</v>
      </c>
      <c r="FD13" s="156">
        <f t="shared" si="1"/>
        <v>1001.7700000000001</v>
      </c>
      <c r="FI13" s="181" t="s">
        <v>1234</v>
      </c>
      <c r="FJ13" s="135">
        <v>1</v>
      </c>
    </row>
    <row r="14" spans="1:166" ht="19.5" customHeight="1" thickBot="1" x14ac:dyDescent="0.45">
      <c r="A14" s="302"/>
      <c r="B14" s="335"/>
      <c r="C14" s="335"/>
      <c r="D14" s="335"/>
      <c r="E14" s="302"/>
      <c r="F14" s="345" t="s">
        <v>3420</v>
      </c>
      <c r="G14" s="320"/>
      <c r="H14" s="320"/>
      <c r="I14" s="320"/>
      <c r="J14" s="303"/>
      <c r="K14" s="332"/>
      <c r="L14" s="302"/>
      <c r="M14" s="357" t="s">
        <v>3342</v>
      </c>
      <c r="N14" s="306"/>
      <c r="O14" s="323"/>
      <c r="P14" s="517" t="s">
        <v>3418</v>
      </c>
      <c r="Q14" s="517"/>
      <c r="R14" s="517"/>
      <c r="S14" s="517"/>
      <c r="T14" s="247" t="s">
        <v>1545</v>
      </c>
      <c r="U14" s="248" t="s">
        <v>1565</v>
      </c>
      <c r="V14" s="238" t="s">
        <v>1221</v>
      </c>
      <c r="W14" s="223"/>
      <c r="X14" s="224" t="s">
        <v>1270</v>
      </c>
      <c r="Y14" s="224" t="s">
        <v>1230</v>
      </c>
      <c r="Z14" s="224" t="s">
        <v>1204</v>
      </c>
      <c r="AA14" s="225" t="s">
        <v>1208</v>
      </c>
      <c r="AB14" s="140">
        <v>0.93</v>
      </c>
      <c r="AC14" s="141" t="s">
        <v>1671</v>
      </c>
      <c r="AD14" s="135" t="s">
        <v>1640</v>
      </c>
      <c r="AE14" s="142" t="s">
        <v>1745</v>
      </c>
      <c r="AF14" s="143"/>
      <c r="AG14" s="147"/>
      <c r="AH14" s="146"/>
      <c r="AI14" s="148"/>
      <c r="AJ14" s="135" t="s">
        <v>2810</v>
      </c>
      <c r="AK14" s="135" t="s">
        <v>2770</v>
      </c>
      <c r="AL14" s="135" t="s">
        <v>3380</v>
      </c>
      <c r="AM14" s="145" t="s">
        <v>1656</v>
      </c>
      <c r="AN14" s="170">
        <v>6</v>
      </c>
      <c r="AO14" s="170" t="s">
        <v>1548</v>
      </c>
      <c r="AP14" s="170" t="s">
        <v>1291</v>
      </c>
      <c r="AQ14" s="170">
        <f>SUMIF($B$18:$B$31,"logeren",$F$18:$F$31)</f>
        <v>0</v>
      </c>
      <c r="AR14" s="170" t="s">
        <v>1244</v>
      </c>
      <c r="AS14" s="170">
        <f>AQ14</f>
        <v>0</v>
      </c>
      <c r="AT14" s="170" t="s">
        <v>1244</v>
      </c>
      <c r="AU14" s="170">
        <f>IF(AS14&lt;=7,AS14,7)</f>
        <v>0</v>
      </c>
      <c r="AV14" s="170" t="str">
        <f>VLOOKUP(AU14,AR16:AS23,2,FALSE)</f>
        <v>Nvt</v>
      </c>
      <c r="AW14" s="170"/>
      <c r="AX14" s="165" t="s">
        <v>1735</v>
      </c>
      <c r="AY14" s="135" t="s">
        <v>42</v>
      </c>
      <c r="AZ14" s="206">
        <f>VLOOKUP(AY14,'Tarieven ZIN prestaties'!$B$1:$D$84,2,FALSE)</f>
        <v>58.87</v>
      </c>
      <c r="BA14" s="207"/>
      <c r="BB14" s="173" t="s">
        <v>1595</v>
      </c>
      <c r="BC14" s="208">
        <f ca="1">BC13-BC11</f>
        <v>0</v>
      </c>
      <c r="BD14" s="181" t="s">
        <v>1230</v>
      </c>
      <c r="BE14" s="209">
        <v>800</v>
      </c>
      <c r="BF14" s="182" t="s">
        <v>1278</v>
      </c>
      <c r="BG14" s="210">
        <f>VLOOKUP(BD14,'PGB tarieven'!$A$7:$M$53,13,FALSE)</f>
        <v>35459</v>
      </c>
      <c r="BH14" s="211">
        <f t="shared" si="5"/>
        <v>680.0356164383561</v>
      </c>
      <c r="BI14" s="193"/>
      <c r="BJ14" s="193"/>
      <c r="BK14" s="212" t="s">
        <v>1221</v>
      </c>
      <c r="BL14" s="175">
        <f>VLOOKUP(BK14,'Ruimte behandeling basis MPT'!$A$2:$H$41,8,FALSE)</f>
        <v>230.0199999999999</v>
      </c>
      <c r="BN14" s="135" t="s">
        <v>1598</v>
      </c>
      <c r="BO14" s="135">
        <v>0</v>
      </c>
      <c r="BP14" s="135">
        <v>0</v>
      </c>
      <c r="BR14" s="135">
        <f ca="1">IF(BT13&lt;0,3,0)</f>
        <v>0</v>
      </c>
      <c r="BV14" s="135" t="s">
        <v>1732</v>
      </c>
      <c r="BW14" s="251">
        <f ca="1">IF(BW12&gt;=BW6,BW6,BW12)</f>
        <v>0</v>
      </c>
      <c r="BY14" s="214" t="s">
        <v>1551</v>
      </c>
      <c r="BZ14" s="214">
        <v>14.5</v>
      </c>
      <c r="CA14" s="214"/>
      <c r="CB14" s="214"/>
      <c r="CC14" s="214"/>
      <c r="CD14" s="214"/>
      <c r="CE14" s="214"/>
      <c r="CF14" s="214"/>
      <c r="CG14" s="214"/>
      <c r="CH14" s="214"/>
      <c r="CI14" s="181" t="s">
        <v>1230</v>
      </c>
      <c r="CJ14" s="209" t="s">
        <v>1633</v>
      </c>
      <c r="CK14" s="215" t="s">
        <v>1244</v>
      </c>
      <c r="CL14" s="230" t="s">
        <v>1270</v>
      </c>
      <c r="CM14" s="231">
        <v>772</v>
      </c>
      <c r="CN14" s="232">
        <v>8220</v>
      </c>
      <c r="CO14" s="232">
        <f t="shared" si="8"/>
        <v>158.07692307692307</v>
      </c>
      <c r="CP14" s="232">
        <v>7690</v>
      </c>
      <c r="CQ14" s="232">
        <f t="shared" si="9"/>
        <v>147.88461538461539</v>
      </c>
      <c r="CR14" s="232">
        <v>35682</v>
      </c>
      <c r="CS14" s="232">
        <f t="shared" si="10"/>
        <v>686.19230769230774</v>
      </c>
      <c r="CT14" s="232">
        <v>13721</v>
      </c>
      <c r="CU14" s="232">
        <f t="shared" si="11"/>
        <v>263.86538461538464</v>
      </c>
      <c r="CV14" s="232">
        <v>3357</v>
      </c>
      <c r="CW14" s="232">
        <v>68670</v>
      </c>
      <c r="CX14" s="233">
        <v>65313</v>
      </c>
      <c r="CY14" s="170" t="s">
        <v>1798</v>
      </c>
      <c r="CZ14" s="170">
        <f>SUMIF($B$18:$B$31,"schoonmaak",$F$18:$F$31)</f>
        <v>0</v>
      </c>
      <c r="DA14" s="170">
        <f>CZ14/60</f>
        <v>0</v>
      </c>
      <c r="DB14" s="135">
        <v>25</v>
      </c>
      <c r="DC14" s="135">
        <f>DA14-DB14</f>
        <v>-25</v>
      </c>
      <c r="DD14" s="135">
        <f t="shared" si="6"/>
        <v>0</v>
      </c>
      <c r="DG14" s="136" t="s">
        <v>3701</v>
      </c>
      <c r="DH14" s="136" t="s">
        <v>1804</v>
      </c>
      <c r="DI14" s="136" t="s">
        <v>1810</v>
      </c>
      <c r="DK14" s="135">
        <f t="shared" si="2"/>
        <v>0</v>
      </c>
      <c r="DL14" s="135">
        <f t="shared" si="3"/>
        <v>0</v>
      </c>
      <c r="DM14" s="135">
        <f t="shared" si="4"/>
        <v>0</v>
      </c>
      <c r="DO14" s="142" t="s">
        <v>1745</v>
      </c>
      <c r="DP14" s="142" t="s">
        <v>1745</v>
      </c>
      <c r="DQ14" s="142" t="s">
        <v>1745</v>
      </c>
      <c r="DR14" s="142" t="s">
        <v>2658</v>
      </c>
      <c r="DS14" s="142" t="s">
        <v>1543</v>
      </c>
      <c r="DU14" s="181" t="s">
        <v>1232</v>
      </c>
      <c r="DV14" s="182" t="s">
        <v>1278</v>
      </c>
      <c r="DW14" s="135" t="s">
        <v>1598</v>
      </c>
      <c r="DX14" s="136">
        <v>0</v>
      </c>
      <c r="DY14" s="200">
        <v>17.5</v>
      </c>
      <c r="EO14" s="135" t="s">
        <v>2806</v>
      </c>
      <c r="EP14" s="135" t="s">
        <v>2767</v>
      </c>
      <c r="ET14" s="135" t="s">
        <v>2819</v>
      </c>
      <c r="EU14" s="135" t="s">
        <v>2931</v>
      </c>
      <c r="EY14" s="135" t="s">
        <v>2650</v>
      </c>
      <c r="EZ14" s="135" t="s">
        <v>2858</v>
      </c>
      <c r="FA14" s="135" t="s">
        <v>3360</v>
      </c>
      <c r="FB14" s="135" t="str">
        <f t="shared" si="7"/>
        <v>3vgOpname</v>
      </c>
      <c r="FC14" s="156">
        <f>VLOOKUP(EZ14,'Tarieven ZZP'!$D$6:$J$134,7,FALSE)</f>
        <v>186.1</v>
      </c>
      <c r="FD14" s="156">
        <f t="shared" si="1"/>
        <v>1302.7</v>
      </c>
      <c r="FI14" s="181" t="s">
        <v>1235</v>
      </c>
      <c r="FJ14" s="135">
        <v>1</v>
      </c>
    </row>
    <row r="15" spans="1:166" ht="19.5" customHeight="1" thickBot="1" x14ac:dyDescent="0.45">
      <c r="A15" s="302"/>
      <c r="B15" s="342"/>
      <c r="C15" s="335"/>
      <c r="D15" s="335"/>
      <c r="E15" s="302"/>
      <c r="F15" s="302"/>
      <c r="G15" s="468"/>
      <c r="H15" s="468"/>
      <c r="I15" s="303"/>
      <c r="J15" s="303"/>
      <c r="K15" s="303"/>
      <c r="L15" s="302"/>
      <c r="M15" s="331">
        <f ca="1">IF(AND(I33&gt;0,F5="MPT"),T19,0)</f>
        <v>0</v>
      </c>
      <c r="N15" s="322">
        <f ca="1">IFERROR(M15/M17,0)</f>
        <v>0</v>
      </c>
      <c r="O15" s="323"/>
      <c r="P15" s="517"/>
      <c r="Q15" s="517"/>
      <c r="R15" s="517"/>
      <c r="S15" s="517"/>
      <c r="T15" s="249" t="s">
        <v>1291</v>
      </c>
      <c r="U15" s="250" t="s">
        <v>1669</v>
      </c>
      <c r="V15" s="238" t="s">
        <v>1222</v>
      </c>
      <c r="W15" s="223"/>
      <c r="X15" s="223"/>
      <c r="Y15" s="224" t="s">
        <v>1231</v>
      </c>
      <c r="Z15" s="224"/>
      <c r="AA15" s="225" t="s">
        <v>1206</v>
      </c>
      <c r="AB15" s="140">
        <v>0.93500000000000005</v>
      </c>
      <c r="AC15" s="141" t="s">
        <v>1672</v>
      </c>
      <c r="AD15" s="135" t="s">
        <v>1641</v>
      </c>
      <c r="AE15" s="142" t="s">
        <v>1746</v>
      </c>
      <c r="AF15" s="143"/>
      <c r="AG15" s="150"/>
      <c r="AH15" s="146"/>
      <c r="AI15" s="148"/>
      <c r="AJ15" s="135" t="s">
        <v>2811</v>
      </c>
      <c r="AK15" s="135" t="s">
        <v>2771</v>
      </c>
      <c r="AL15" s="135" t="s">
        <v>3374</v>
      </c>
      <c r="AM15" s="145" t="s">
        <v>1657</v>
      </c>
      <c r="AN15" s="170">
        <v>7</v>
      </c>
      <c r="AO15" s="170" t="s">
        <v>1549</v>
      </c>
      <c r="AP15" s="170" t="s">
        <v>1795</v>
      </c>
      <c r="AQ15" s="170">
        <f>SUMIF($B$18:$B$31,"Schoonmaak",$F$18:$F$31)</f>
        <v>0</v>
      </c>
      <c r="AR15" s="170">
        <f>AQ15/60</f>
        <v>0</v>
      </c>
      <c r="AS15" s="170">
        <f>FLOOR(AR15,1)</f>
        <v>0</v>
      </c>
      <c r="AT15" s="170">
        <f>IF(AQ15&gt;0,1,0)</f>
        <v>0</v>
      </c>
      <c r="AU15" s="170">
        <f>IF(AS15+AT15&lt;=1,AT15,AS15)</f>
        <v>0</v>
      </c>
      <c r="AV15" s="170" t="str">
        <f>IFERROR(VLOOKUP(AU15,$AN$8:$AO$33,2,FALSE),"K8")</f>
        <v>Nvt</v>
      </c>
      <c r="AW15" s="170"/>
      <c r="AX15" s="165" t="s">
        <v>1645</v>
      </c>
      <c r="AY15" s="135" t="s">
        <v>20</v>
      </c>
      <c r="AZ15" s="206">
        <f>VLOOKUP(AY15,'Tarieven ZIN prestaties'!$B$1:$D$84,2,FALSE)</f>
        <v>76.569999999999993</v>
      </c>
      <c r="BA15" s="207"/>
      <c r="BB15" s="173"/>
      <c r="BC15" s="173"/>
      <c r="BD15" s="181" t="s">
        <v>1231</v>
      </c>
      <c r="BE15" s="209">
        <v>802</v>
      </c>
      <c r="BF15" s="182" t="s">
        <v>1278</v>
      </c>
      <c r="BG15" s="210">
        <f>VLOOKUP(BD15,'PGB tarieven'!$A$7:$M$53,13,FALSE)</f>
        <v>41965</v>
      </c>
      <c r="BH15" s="211">
        <f t="shared" si="5"/>
        <v>804.80821917808225</v>
      </c>
      <c r="BI15" s="193"/>
      <c r="BJ15" s="193"/>
      <c r="BK15" s="212" t="s">
        <v>1222</v>
      </c>
      <c r="BL15" s="175">
        <f>VLOOKUP(BK15,'Ruimte behandeling basis MPT'!$A$2:$H$41,8,FALSE)</f>
        <v>469.70000000000016</v>
      </c>
      <c r="BM15" s="135">
        <f>IF(R25="ja",BN10,0)</f>
        <v>0</v>
      </c>
      <c r="BR15" s="135" t="s">
        <v>1611</v>
      </c>
      <c r="BT15" s="156">
        <f ca="1">BT6+BT11</f>
        <v>0</v>
      </c>
      <c r="BY15" s="214" t="s">
        <v>1552</v>
      </c>
      <c r="BZ15" s="214">
        <v>18</v>
      </c>
      <c r="CA15" s="214"/>
      <c r="CB15" s="214"/>
      <c r="CC15" s="214"/>
      <c r="CD15" s="214"/>
      <c r="CE15" s="214"/>
      <c r="CF15" s="214"/>
      <c r="CG15" s="214"/>
      <c r="CH15" s="214"/>
      <c r="CI15" s="181" t="s">
        <v>1231</v>
      </c>
      <c r="CJ15" s="209" t="s">
        <v>1633</v>
      </c>
      <c r="CK15" s="215" t="s">
        <v>1244</v>
      </c>
      <c r="CL15" s="235" t="s">
        <v>1238</v>
      </c>
      <c r="CM15" s="236">
        <v>780</v>
      </c>
      <c r="CN15" s="237">
        <v>4491</v>
      </c>
      <c r="CO15" s="232">
        <f t="shared" si="8"/>
        <v>86.365384615384613</v>
      </c>
      <c r="CP15" s="236">
        <v>0</v>
      </c>
      <c r="CQ15" s="232">
        <f t="shared" si="9"/>
        <v>0</v>
      </c>
      <c r="CR15" s="237">
        <v>16866</v>
      </c>
      <c r="CS15" s="232">
        <f t="shared" si="10"/>
        <v>324.34615384615387</v>
      </c>
      <c r="CT15" s="237">
        <v>2744</v>
      </c>
      <c r="CU15" s="232">
        <f t="shared" si="11"/>
        <v>52.769230769230766</v>
      </c>
      <c r="CV15" s="237">
        <v>3357</v>
      </c>
      <c r="CW15" s="237">
        <v>27458</v>
      </c>
      <c r="CX15" s="233">
        <v>24101</v>
      </c>
      <c r="DG15" s="135" t="s">
        <v>1598</v>
      </c>
      <c r="DH15" s="136" t="s">
        <v>3701</v>
      </c>
      <c r="DI15" s="135" t="s">
        <v>1406</v>
      </c>
      <c r="DK15" s="135">
        <f t="shared" si="2"/>
        <v>0</v>
      </c>
      <c r="DL15" s="135">
        <f t="shared" si="3"/>
        <v>0</v>
      </c>
      <c r="DM15" s="135">
        <f t="shared" si="4"/>
        <v>0</v>
      </c>
      <c r="DO15" s="142" t="s">
        <v>1748</v>
      </c>
      <c r="DP15" s="142" t="s">
        <v>1746</v>
      </c>
      <c r="DQ15" s="142" t="s">
        <v>1746</v>
      </c>
      <c r="DR15" s="142" t="s">
        <v>2657</v>
      </c>
      <c r="DS15" s="142" t="s">
        <v>1543</v>
      </c>
      <c r="DU15" s="181" t="s">
        <v>1233</v>
      </c>
      <c r="DV15" s="182" t="s">
        <v>1278</v>
      </c>
      <c r="DW15" s="135" t="s">
        <v>1598</v>
      </c>
      <c r="DX15" s="136">
        <v>0</v>
      </c>
      <c r="DY15" s="136">
        <v>20</v>
      </c>
      <c r="EO15" s="135" t="s">
        <v>2814</v>
      </c>
      <c r="EP15" s="135" t="s">
        <v>2927</v>
      </c>
      <c r="ET15" s="135" t="s">
        <v>2812</v>
      </c>
      <c r="EU15" s="135" t="s">
        <v>2772</v>
      </c>
      <c r="EY15" s="135" t="s">
        <v>2651</v>
      </c>
      <c r="EZ15" s="135" t="s">
        <v>2859</v>
      </c>
      <c r="FA15" s="135" t="s">
        <v>3360</v>
      </c>
      <c r="FB15" s="135" t="str">
        <f t="shared" si="7"/>
        <v>4vgOpname</v>
      </c>
      <c r="FC15" s="156">
        <f>VLOOKUP(EZ15,'Tarieven ZZP'!$D$6:$J$134,7,FALSE)</f>
        <v>218.97</v>
      </c>
      <c r="FD15" s="156">
        <f t="shared" si="1"/>
        <v>1532.79</v>
      </c>
      <c r="FI15" s="181" t="s">
        <v>1236</v>
      </c>
      <c r="FJ15" s="135">
        <v>1</v>
      </c>
    </row>
    <row r="16" spans="1:166" ht="31.5" customHeight="1" thickBot="1" x14ac:dyDescent="0.55000000000000004">
      <c r="A16" s="302"/>
      <c r="B16" s="342" t="s">
        <v>3417</v>
      </c>
      <c r="C16" s="335"/>
      <c r="D16" s="335"/>
      <c r="E16" s="335"/>
      <c r="F16" s="341"/>
      <c r="G16" s="465" t="s">
        <v>1630</v>
      </c>
      <c r="H16" s="335"/>
      <c r="I16" s="335"/>
      <c r="J16" s="305"/>
      <c r="K16" s="305"/>
      <c r="L16" s="302"/>
      <c r="M16" s="348" t="str">
        <f>IF(M5="financiële ruimte","Bedrag ZIN","Bedrag ZIN thuis")</f>
        <v>Bedrag ZIN thuis</v>
      </c>
      <c r="N16" s="306"/>
      <c r="O16" s="323"/>
      <c r="P16" s="517"/>
      <c r="Q16" s="517"/>
      <c r="R16" s="517"/>
      <c r="S16" s="517"/>
      <c r="T16" s="252" t="s">
        <v>3016</v>
      </c>
      <c r="U16" s="252" t="s">
        <v>1669</v>
      </c>
      <c r="V16" s="238" t="s">
        <v>1223</v>
      </c>
      <c r="W16" s="223"/>
      <c r="X16" s="223"/>
      <c r="Y16" s="224" t="s">
        <v>1232</v>
      </c>
      <c r="Z16" s="224"/>
      <c r="AA16" s="225" t="s">
        <v>1207</v>
      </c>
      <c r="AB16" s="140">
        <v>0.94</v>
      </c>
      <c r="AC16" s="141" t="s">
        <v>1664</v>
      </c>
      <c r="AD16" s="135" t="s">
        <v>1642</v>
      </c>
      <c r="AE16" s="142" t="s">
        <v>1747</v>
      </c>
      <c r="AF16" s="143"/>
      <c r="AG16" s="150"/>
      <c r="AH16" s="146"/>
      <c r="AI16" s="148"/>
      <c r="AJ16" s="135" t="s">
        <v>2812</v>
      </c>
      <c r="AK16" s="135" t="s">
        <v>2772</v>
      </c>
      <c r="AL16" s="149"/>
      <c r="AM16" s="145" t="s">
        <v>1658</v>
      </c>
      <c r="AN16" s="170">
        <v>8</v>
      </c>
      <c r="AO16" s="170" t="s">
        <v>1549</v>
      </c>
      <c r="AP16" s="170">
        <v>0</v>
      </c>
      <c r="AQ16" s="170" t="s">
        <v>1554</v>
      </c>
      <c r="AR16" s="170">
        <v>0</v>
      </c>
      <c r="AS16" s="170" t="s">
        <v>1554</v>
      </c>
      <c r="AT16" s="170"/>
      <c r="AU16" s="170"/>
      <c r="AV16" s="170">
        <f>SUMIFS(F18:F31,B18:B31,"BGgrp",G18:G31,"Dagdelen")</f>
        <v>0</v>
      </c>
      <c r="AW16" s="170"/>
      <c r="AX16" s="165" t="s">
        <v>1665</v>
      </c>
      <c r="AY16" s="135" t="s">
        <v>548</v>
      </c>
      <c r="AZ16" s="206">
        <f>VLOOKUP(AY16,'Tarieven ZIN prestaties'!$B$1:$D$84,2,FALSE)</f>
        <v>51.68</v>
      </c>
      <c r="BA16" s="207"/>
      <c r="BD16" s="181" t="s">
        <v>1232</v>
      </c>
      <c r="BE16" s="209">
        <v>804</v>
      </c>
      <c r="BF16" s="182" t="s">
        <v>1278</v>
      </c>
      <c r="BG16" s="210">
        <f>VLOOKUP(BD16,'PGB tarieven'!$A$7:$M$53,13,FALSE)</f>
        <v>47835</v>
      </c>
      <c r="BH16" s="211">
        <f t="shared" si="5"/>
        <v>917.38356164383561</v>
      </c>
      <c r="BI16" s="193"/>
      <c r="BJ16" s="193"/>
      <c r="BK16" s="212" t="s">
        <v>1223</v>
      </c>
      <c r="BL16" s="175">
        <f>VLOOKUP(BK16,'Ruimte behandeling basis MPT'!$A$2:$H$41,8,FALSE)</f>
        <v>230.79000000000019</v>
      </c>
      <c r="BM16" s="181" t="s">
        <v>1214</v>
      </c>
      <c r="BN16" s="209">
        <v>750</v>
      </c>
      <c r="BO16" s="182" t="s">
        <v>1244</v>
      </c>
      <c r="BP16" s="253">
        <f>VLOOKUP(BM16,'PGB tarieven'!$A$7:$M$53,13,FALSE)</f>
        <v>16003</v>
      </c>
      <c r="BQ16" s="211">
        <f>BP16/365*7</f>
        <v>306.90684931506848</v>
      </c>
      <c r="BR16" s="179" t="s">
        <v>1612</v>
      </c>
      <c r="BT16" s="156">
        <f ca="1">BT7+BT12</f>
        <v>0</v>
      </c>
      <c r="BY16" s="214" t="s">
        <v>1553</v>
      </c>
      <c r="BZ16" s="214">
        <v>22.5</v>
      </c>
      <c r="CA16" s="214"/>
      <c r="CB16" s="214"/>
      <c r="CC16" s="214"/>
      <c r="CD16" s="214"/>
      <c r="CE16" s="214"/>
      <c r="CF16" s="214"/>
      <c r="CG16" s="214"/>
      <c r="CH16" s="214"/>
      <c r="CI16" s="181" t="s">
        <v>1232</v>
      </c>
      <c r="CJ16" s="209" t="s">
        <v>1633</v>
      </c>
      <c r="CK16" s="215" t="s">
        <v>1244</v>
      </c>
      <c r="CL16" s="230" t="s">
        <v>1239</v>
      </c>
      <c r="CM16" s="231">
        <v>781</v>
      </c>
      <c r="CN16" s="232">
        <v>4491</v>
      </c>
      <c r="CO16" s="232">
        <f t="shared" si="8"/>
        <v>86.365384615384613</v>
      </c>
      <c r="CP16" s="231">
        <v>0</v>
      </c>
      <c r="CQ16" s="232">
        <f t="shared" si="9"/>
        <v>0</v>
      </c>
      <c r="CR16" s="232">
        <v>28748</v>
      </c>
      <c r="CS16" s="232">
        <f t="shared" si="10"/>
        <v>552.84615384615381</v>
      </c>
      <c r="CT16" s="232">
        <v>2744</v>
      </c>
      <c r="CU16" s="232">
        <f t="shared" si="11"/>
        <v>52.769230769230766</v>
      </c>
      <c r="CV16" s="232">
        <v>3357</v>
      </c>
      <c r="CW16" s="232">
        <v>39340</v>
      </c>
      <c r="CX16" s="233">
        <v>35983</v>
      </c>
      <c r="DA16" s="135" t="s">
        <v>1629</v>
      </c>
      <c r="DH16" s="135" t="s">
        <v>1598</v>
      </c>
      <c r="DI16" s="136" t="s">
        <v>1811</v>
      </c>
      <c r="DK16" s="135">
        <f t="shared" si="2"/>
        <v>0</v>
      </c>
      <c r="DL16" s="135">
        <f t="shared" si="3"/>
        <v>0</v>
      </c>
      <c r="DM16" s="135">
        <f t="shared" si="4"/>
        <v>0</v>
      </c>
      <c r="DO16" s="142" t="s">
        <v>1668</v>
      </c>
      <c r="DP16" s="142" t="s">
        <v>1748</v>
      </c>
      <c r="DQ16" s="142" t="s">
        <v>1747</v>
      </c>
      <c r="DR16" s="142" t="s">
        <v>2659</v>
      </c>
      <c r="DS16" s="142" t="s">
        <v>1543</v>
      </c>
      <c r="DU16" s="181" t="s">
        <v>1234</v>
      </c>
      <c r="DV16" s="182" t="s">
        <v>1278</v>
      </c>
      <c r="DW16" s="135" t="s">
        <v>1631</v>
      </c>
      <c r="DX16" s="200">
        <f>DY16*1.25</f>
        <v>31.875</v>
      </c>
      <c r="DY16" s="254">
        <v>25.5</v>
      </c>
      <c r="EO16" s="135" t="s">
        <v>2807</v>
      </c>
      <c r="EP16" s="135" t="s">
        <v>2768</v>
      </c>
      <c r="ET16" s="135" t="s">
        <v>2820</v>
      </c>
      <c r="EU16" s="135" t="s">
        <v>2932</v>
      </c>
      <c r="EY16" s="135" t="s">
        <v>2652</v>
      </c>
      <c r="EZ16" s="135" t="s">
        <v>2860</v>
      </c>
      <c r="FA16" s="135" t="s">
        <v>3360</v>
      </c>
      <c r="FB16" s="135" t="str">
        <f t="shared" si="7"/>
        <v>5vgOpname</v>
      </c>
      <c r="FC16" s="156">
        <f>VLOOKUP(EZ16,'Tarieven ZZP'!$D$6:$J$134,7,FALSE)</f>
        <v>280.76</v>
      </c>
      <c r="FD16" s="156">
        <f t="shared" si="1"/>
        <v>1965.32</v>
      </c>
      <c r="FI16" s="181" t="s">
        <v>1237</v>
      </c>
      <c r="FJ16" s="135">
        <v>1</v>
      </c>
    </row>
    <row r="17" spans="1:166" ht="36.6" thickBot="1" x14ac:dyDescent="0.4">
      <c r="A17" s="302"/>
      <c r="B17" s="341" t="s">
        <v>3013</v>
      </c>
      <c r="C17" s="341"/>
      <c r="D17" s="341" t="s">
        <v>0</v>
      </c>
      <c r="E17" s="341" t="s">
        <v>3014</v>
      </c>
      <c r="F17" s="346" t="s">
        <v>3015</v>
      </c>
      <c r="G17" s="465"/>
      <c r="H17" s="346" t="s">
        <v>1324</v>
      </c>
      <c r="I17" s="347" t="s">
        <v>1429</v>
      </c>
      <c r="J17" s="305"/>
      <c r="K17" s="358" t="s">
        <v>3325</v>
      </c>
      <c r="L17" s="302"/>
      <c r="M17" s="289">
        <f ca="1">M10+M12+M15</f>
        <v>0</v>
      </c>
      <c r="N17" s="319">
        <f ca="1">IFERROR(M17/M6,0)</f>
        <v>0</v>
      </c>
      <c r="O17" s="320"/>
      <c r="P17" s="517"/>
      <c r="Q17" s="517"/>
      <c r="R17" s="517"/>
      <c r="S17" s="517"/>
      <c r="T17" s="252" t="s">
        <v>6</v>
      </c>
      <c r="U17" s="252" t="s">
        <v>1566</v>
      </c>
      <c r="V17" s="238"/>
      <c r="W17" s="223"/>
      <c r="X17" s="223"/>
      <c r="Y17" s="224" t="s">
        <v>1233</v>
      </c>
      <c r="Z17" s="223"/>
      <c r="AA17" s="255"/>
      <c r="AB17" s="140">
        <v>0.94499999999999995</v>
      </c>
      <c r="AC17" s="141" t="s">
        <v>1739</v>
      </c>
      <c r="AD17" s="135" t="s">
        <v>1643</v>
      </c>
      <c r="AE17" s="142" t="s">
        <v>1748</v>
      </c>
      <c r="AF17" s="143"/>
      <c r="AG17" s="150"/>
      <c r="AH17" s="146"/>
      <c r="AI17" s="150"/>
      <c r="AJ17" s="135" t="s">
        <v>2813</v>
      </c>
      <c r="AK17" s="135" t="s">
        <v>2773</v>
      </c>
      <c r="AL17" s="151"/>
      <c r="AM17" s="151"/>
      <c r="AN17" s="170">
        <v>9</v>
      </c>
      <c r="AO17" s="170" t="s">
        <v>1549</v>
      </c>
      <c r="AP17" s="170">
        <v>1</v>
      </c>
      <c r="AQ17" s="170" t="s">
        <v>1555</v>
      </c>
      <c r="AR17" s="170">
        <v>1</v>
      </c>
      <c r="AS17" s="170" t="s">
        <v>1580</v>
      </c>
      <c r="AT17" s="170"/>
      <c r="AU17" s="170"/>
      <c r="AV17" s="170">
        <f>SUMIFS(F18:F31,B18:B31,"BGgrp",G18:G31,"Minuten")</f>
        <v>0</v>
      </c>
      <c r="AW17" s="170"/>
      <c r="AX17" s="165" t="s">
        <v>1650</v>
      </c>
      <c r="AY17" s="135" t="s">
        <v>46</v>
      </c>
      <c r="AZ17" s="206">
        <f>VLOOKUP(AY17,'Tarieven ZIN prestaties'!$B$1:$D$84,2,FALSE)</f>
        <v>54.96</v>
      </c>
      <c r="BA17" s="207"/>
      <c r="BD17" s="181" t="s">
        <v>1233</v>
      </c>
      <c r="BE17" s="209">
        <v>806</v>
      </c>
      <c r="BF17" s="182" t="s">
        <v>1278</v>
      </c>
      <c r="BG17" s="210">
        <f>VLOOKUP(BD17,'PGB tarieven'!$A$7:$M$53,13,FALSE)</f>
        <v>52503</v>
      </c>
      <c r="BH17" s="211">
        <f t="shared" si="5"/>
        <v>1006.9068493150685</v>
      </c>
      <c r="BI17" s="193"/>
      <c r="BJ17" s="193"/>
      <c r="BK17" s="212" t="s">
        <v>1230</v>
      </c>
      <c r="BL17" s="175">
        <f>VLOOKUP(BK17,'Ruimte behandeling basis MPT'!$A$2:$H$41,8,FALSE)</f>
        <v>0</v>
      </c>
      <c r="BM17" s="181" t="s">
        <v>1215</v>
      </c>
      <c r="BN17" s="209">
        <v>751</v>
      </c>
      <c r="BO17" s="182" t="s">
        <v>1244</v>
      </c>
      <c r="BP17" s="253">
        <f>VLOOKUP(BM17,'PGB tarieven'!$A$7:$M$53,13,FALSE)</f>
        <v>23205</v>
      </c>
      <c r="BQ17" s="211">
        <f t="shared" ref="BQ17:BQ31" si="12">BP17/365*7</f>
        <v>445.02739726027397</v>
      </c>
      <c r="BT17" s="156">
        <f ca="1">BT15-BT16</f>
        <v>0</v>
      </c>
      <c r="BY17" s="214" t="s">
        <v>1555</v>
      </c>
      <c r="BZ17" s="214">
        <v>1</v>
      </c>
      <c r="CA17" s="214"/>
      <c r="CB17" s="214"/>
      <c r="CC17" s="214"/>
      <c r="CD17" s="214"/>
      <c r="CE17" s="214"/>
      <c r="CF17" s="214"/>
      <c r="CG17" s="214"/>
      <c r="CH17" s="214"/>
      <c r="CI17" s="181" t="s">
        <v>1233</v>
      </c>
      <c r="CJ17" s="209" t="s">
        <v>1633</v>
      </c>
      <c r="CK17" s="215" t="s">
        <v>1244</v>
      </c>
      <c r="CL17" s="235" t="s">
        <v>1240</v>
      </c>
      <c r="CM17" s="236">
        <v>782</v>
      </c>
      <c r="CN17" s="237">
        <v>12711</v>
      </c>
      <c r="CO17" s="232">
        <f t="shared" si="8"/>
        <v>244.44230769230768</v>
      </c>
      <c r="CP17" s="236">
        <v>0</v>
      </c>
      <c r="CQ17" s="232">
        <f t="shared" si="9"/>
        <v>0</v>
      </c>
      <c r="CR17" s="237">
        <v>28748</v>
      </c>
      <c r="CS17" s="232">
        <f t="shared" si="10"/>
        <v>552.84615384615381</v>
      </c>
      <c r="CT17" s="237">
        <v>2744</v>
      </c>
      <c r="CU17" s="232">
        <f t="shared" si="11"/>
        <v>52.769230769230766</v>
      </c>
      <c r="CV17" s="237">
        <v>3357</v>
      </c>
      <c r="CW17" s="237">
        <v>47560</v>
      </c>
      <c r="CX17" s="233">
        <v>44203</v>
      </c>
      <c r="DA17" s="135">
        <f>SUM(DD8:DD14)</f>
        <v>0</v>
      </c>
      <c r="DI17" s="136" t="s">
        <v>1598</v>
      </c>
      <c r="DK17" s="135">
        <f t="shared" si="2"/>
        <v>0</v>
      </c>
      <c r="DL17" s="135">
        <f t="shared" si="3"/>
        <v>0</v>
      </c>
      <c r="DM17" s="135">
        <f t="shared" si="4"/>
        <v>0</v>
      </c>
      <c r="DO17" s="142" t="s">
        <v>1752</v>
      </c>
      <c r="DP17" s="142" t="s">
        <v>1749</v>
      </c>
      <c r="DQ17" s="142" t="s">
        <v>1748</v>
      </c>
      <c r="DR17" s="142" t="s">
        <v>2660</v>
      </c>
      <c r="DS17" s="142" t="s">
        <v>1543</v>
      </c>
      <c r="DU17" s="181" t="s">
        <v>1235</v>
      </c>
      <c r="DV17" s="182" t="s">
        <v>1278</v>
      </c>
      <c r="DW17" s="135" t="s">
        <v>1598</v>
      </c>
      <c r="DX17" s="200">
        <f t="shared" ref="DX17:DX81" si="13">DY17*1.25</f>
        <v>31.25</v>
      </c>
      <c r="DY17" s="135">
        <v>25</v>
      </c>
      <c r="EO17" s="135" t="s">
        <v>2815</v>
      </c>
      <c r="EP17" s="135" t="s">
        <v>2928</v>
      </c>
      <c r="ET17" s="135" t="s">
        <v>2813</v>
      </c>
      <c r="EU17" s="135" t="s">
        <v>2773</v>
      </c>
      <c r="EY17" s="135" t="s">
        <v>2653</v>
      </c>
      <c r="EZ17" s="135" t="s">
        <v>2861</v>
      </c>
      <c r="FA17" s="135" t="s">
        <v>3360</v>
      </c>
      <c r="FB17" s="135" t="str">
        <f t="shared" si="7"/>
        <v>6vgOpname</v>
      </c>
      <c r="FC17" s="156">
        <f>VLOOKUP(EZ17,'Tarieven ZZP'!$D$6:$J$134,7,FALSE)</f>
        <v>251.38</v>
      </c>
      <c r="FD17" s="156">
        <f t="shared" si="1"/>
        <v>1759.6599999999999</v>
      </c>
      <c r="FI17" s="181" t="s">
        <v>1198</v>
      </c>
      <c r="FJ17" s="135">
        <v>1</v>
      </c>
    </row>
    <row r="18" spans="1:166" ht="21" customHeight="1" thickBot="1" x14ac:dyDescent="0.35">
      <c r="A18" s="302"/>
      <c r="B18" s="285"/>
      <c r="C18" s="321">
        <f t="shared" ref="C18:C31" si="14">IF(B18="onklaar",$DO$1,B18)</f>
        <v>0</v>
      </c>
      <c r="D18" s="285"/>
      <c r="E18" s="285"/>
      <c r="F18" s="286"/>
      <c r="G18" s="287">
        <f t="shared" ref="G18:G31" si="15">DM6</f>
        <v>0</v>
      </c>
      <c r="H18" s="363">
        <f>IFERROR(IF(OR(COUNTIF(B18:B31,"VPTprestatie")&gt;1,(COUNTIF(B18:B31,"verblijfsprestatie")&gt;1)),"fout splitsing",U29),U29)</f>
        <v>0</v>
      </c>
      <c r="I18" s="360">
        <f t="shared" ref="I18:I31" si="16">IF(G18="minuten",(H18/60)*F18,F18*H18)</f>
        <v>0</v>
      </c>
      <c r="J18" s="305"/>
      <c r="K18" s="359">
        <f t="shared" ref="K18:K31" si="17">IFERROR(I18/($T$27+$M$8)*100%,0)</f>
        <v>0</v>
      </c>
      <c r="L18" s="302"/>
      <c r="M18" s="306"/>
      <c r="N18" s="306"/>
      <c r="O18" s="315"/>
      <c r="P18" s="306"/>
      <c r="Q18" s="306"/>
      <c r="R18" s="306"/>
      <c r="S18" s="302"/>
      <c r="T18" s="252" t="s">
        <v>2994</v>
      </c>
      <c r="U18" s="252" t="s">
        <v>1669</v>
      </c>
      <c r="V18" s="238"/>
      <c r="W18" s="223"/>
      <c r="X18" s="223"/>
      <c r="Y18" s="224" t="s">
        <v>1234</v>
      </c>
      <c r="Z18" s="223"/>
      <c r="AA18" s="255"/>
      <c r="AB18" s="140">
        <v>0.95</v>
      </c>
      <c r="AC18" s="141" t="s">
        <v>1740</v>
      </c>
      <c r="AD18" s="146"/>
      <c r="AE18" s="142" t="s">
        <v>1749</v>
      </c>
      <c r="AF18" s="143"/>
      <c r="AG18" s="150"/>
      <c r="AH18" s="150"/>
      <c r="AI18" s="150"/>
      <c r="AJ18" s="135" t="s">
        <v>2814</v>
      </c>
      <c r="AK18" s="135" t="s">
        <v>2774</v>
      </c>
      <c r="AL18" s="151"/>
      <c r="AM18" s="151"/>
      <c r="AN18" s="170">
        <v>10</v>
      </c>
      <c r="AO18" s="170" t="s">
        <v>1550</v>
      </c>
      <c r="AP18" s="170">
        <v>2</v>
      </c>
      <c r="AQ18" s="170" t="s">
        <v>1556</v>
      </c>
      <c r="AR18" s="170">
        <v>2</v>
      </c>
      <c r="AS18" s="170" t="s">
        <v>1581</v>
      </c>
      <c r="AT18" s="170"/>
      <c r="AU18" s="170"/>
      <c r="AV18" s="170">
        <f>AV17/60</f>
        <v>0</v>
      </c>
      <c r="AW18" s="170"/>
      <c r="AX18" s="165" t="s">
        <v>1651</v>
      </c>
      <c r="AY18" s="135" t="s">
        <v>40</v>
      </c>
      <c r="AZ18" s="206">
        <f>VLOOKUP(AY18,'Tarieven ZIN prestaties'!$B$1:$D$84,2,FALSE)</f>
        <v>54.96</v>
      </c>
      <c r="BA18" s="207"/>
      <c r="BD18" s="181" t="s">
        <v>1234</v>
      </c>
      <c r="BE18" s="209">
        <v>808</v>
      </c>
      <c r="BF18" s="182" t="s">
        <v>1278</v>
      </c>
      <c r="BG18" s="210">
        <f>VLOOKUP(BD18,'PGB tarieven'!$A$7:$M$53,13,FALSE)</f>
        <v>66954</v>
      </c>
      <c r="BH18" s="211">
        <f t="shared" si="5"/>
        <v>1284.0493150684931</v>
      </c>
      <c r="BI18" s="193"/>
      <c r="BJ18" s="193"/>
      <c r="BK18" s="212" t="s">
        <v>1231</v>
      </c>
      <c r="BL18" s="175">
        <f>VLOOKUP(BK18,'Ruimte behandeling basis MPT'!$A$2:$H$41,8,FALSE)</f>
        <v>0</v>
      </c>
      <c r="BM18" s="181" t="s">
        <v>1216</v>
      </c>
      <c r="BN18" s="209">
        <v>752</v>
      </c>
      <c r="BO18" s="182" t="s">
        <v>1244</v>
      </c>
      <c r="BP18" s="253">
        <f>VLOOKUP(BM18,'PGB tarieven'!$A$7:$M$53,13,FALSE)</f>
        <v>28247</v>
      </c>
      <c r="BQ18" s="211">
        <f t="shared" si="12"/>
        <v>541.72328767123281</v>
      </c>
      <c r="BR18" s="135">
        <f ca="1">IF(BT17&lt;0,0,4)</f>
        <v>4</v>
      </c>
      <c r="BY18" s="214" t="s">
        <v>1556</v>
      </c>
      <c r="BZ18" s="214">
        <v>2</v>
      </c>
      <c r="CA18" s="214"/>
      <c r="CB18" s="214"/>
      <c r="CC18" s="214"/>
      <c r="CD18" s="214"/>
      <c r="CE18" s="214"/>
      <c r="CF18" s="214"/>
      <c r="CG18" s="214"/>
      <c r="CH18" s="214"/>
      <c r="CI18" s="181" t="s">
        <v>1234</v>
      </c>
      <c r="CJ18" s="209" t="s">
        <v>1633</v>
      </c>
      <c r="CK18" s="215" t="s">
        <v>1244</v>
      </c>
      <c r="CL18" s="230" t="s">
        <v>1241</v>
      </c>
      <c r="CM18" s="231">
        <v>783</v>
      </c>
      <c r="CN18" s="232">
        <v>17176</v>
      </c>
      <c r="CO18" s="232">
        <f t="shared" si="8"/>
        <v>330.30769230769232</v>
      </c>
      <c r="CP18" s="231">
        <v>0</v>
      </c>
      <c r="CQ18" s="232">
        <f t="shared" si="9"/>
        <v>0</v>
      </c>
      <c r="CR18" s="232">
        <v>35682</v>
      </c>
      <c r="CS18" s="232">
        <f t="shared" si="10"/>
        <v>686.19230769230774</v>
      </c>
      <c r="CT18" s="232">
        <v>5487</v>
      </c>
      <c r="CU18" s="232">
        <f t="shared" si="11"/>
        <v>105.51923076923077</v>
      </c>
      <c r="CV18" s="232">
        <v>3357</v>
      </c>
      <c r="CW18" s="232">
        <v>61702</v>
      </c>
      <c r="CX18" s="233">
        <v>58345</v>
      </c>
      <c r="DK18" s="135">
        <f t="shared" si="2"/>
        <v>0</v>
      </c>
      <c r="DL18" s="135">
        <f t="shared" si="3"/>
        <v>0</v>
      </c>
      <c r="DM18" s="135">
        <f t="shared" si="4"/>
        <v>0</v>
      </c>
      <c r="DO18" s="142" t="s">
        <v>1755</v>
      </c>
      <c r="DP18" s="142" t="s">
        <v>1668</v>
      </c>
      <c r="DQ18" s="142" t="s">
        <v>1749</v>
      </c>
      <c r="DR18" s="142" t="s">
        <v>2661</v>
      </c>
      <c r="DS18" s="142" t="s">
        <v>1543</v>
      </c>
      <c r="DU18" s="181" t="s">
        <v>1236</v>
      </c>
      <c r="DV18" s="182" t="s">
        <v>1278</v>
      </c>
      <c r="DW18" s="135" t="s">
        <v>1631</v>
      </c>
      <c r="DX18" s="200">
        <f t="shared" si="13"/>
        <v>45</v>
      </c>
      <c r="DY18" s="254">
        <v>36</v>
      </c>
      <c r="EO18" s="135" t="s">
        <v>2808</v>
      </c>
      <c r="EP18" s="135" t="s">
        <v>2769</v>
      </c>
      <c r="ET18" s="135" t="s">
        <v>2821</v>
      </c>
      <c r="EU18" s="135" t="s">
        <v>2933</v>
      </c>
      <c r="EY18" s="135" t="s">
        <v>2654</v>
      </c>
      <c r="EZ18" s="135" t="s">
        <v>2862</v>
      </c>
      <c r="FA18" s="135" t="s">
        <v>3360</v>
      </c>
      <c r="FB18" s="135" t="str">
        <f t="shared" si="7"/>
        <v>7vgOpname</v>
      </c>
      <c r="FC18" s="156">
        <f>VLOOKUP(EZ18,'Tarieven ZZP'!$D$6:$J$134,7,FALSE)</f>
        <v>350.87</v>
      </c>
      <c r="FD18" s="156">
        <f t="shared" si="1"/>
        <v>2456.09</v>
      </c>
      <c r="FI18" s="181" t="s">
        <v>1199</v>
      </c>
      <c r="FJ18" s="135">
        <v>1</v>
      </c>
    </row>
    <row r="19" spans="1:166" ht="21" customHeight="1" thickBot="1" x14ac:dyDescent="0.45">
      <c r="A19" s="302"/>
      <c r="B19" s="285"/>
      <c r="C19" s="321">
        <f t="shared" si="14"/>
        <v>0</v>
      </c>
      <c r="D19" s="285"/>
      <c r="E19" s="285"/>
      <c r="F19" s="286"/>
      <c r="G19" s="287">
        <f t="shared" si="15"/>
        <v>0</v>
      </c>
      <c r="H19" s="363">
        <f t="shared" ref="H19:H27" si="18">U30</f>
        <v>0</v>
      </c>
      <c r="I19" s="364">
        <f t="shared" si="16"/>
        <v>0</v>
      </c>
      <c r="J19" s="305"/>
      <c r="K19" s="359">
        <f t="shared" si="17"/>
        <v>0</v>
      </c>
      <c r="L19" s="308"/>
      <c r="M19" s="482" t="s">
        <v>1812</v>
      </c>
      <c r="N19" s="483"/>
      <c r="O19" s="483"/>
      <c r="P19" s="483"/>
      <c r="Q19" s="483"/>
      <c r="R19" s="483"/>
      <c r="S19" s="302"/>
      <c r="T19" s="280">
        <f>IF(M12&gt;0,U19*125%,U19)</f>
        <v>0</v>
      </c>
      <c r="U19" s="280">
        <f>IFERROR(VLOOKUP($G$10,$BK$7:$BL$83,2,FALSE),0)</f>
        <v>0</v>
      </c>
      <c r="V19" s="238"/>
      <c r="W19" s="223"/>
      <c r="X19" s="223"/>
      <c r="Y19" s="224" t="s">
        <v>1235</v>
      </c>
      <c r="Z19" s="223"/>
      <c r="AA19" s="255"/>
      <c r="AB19" s="140">
        <v>0.95499999999999996</v>
      </c>
      <c r="AC19" s="146"/>
      <c r="AD19" s="146"/>
      <c r="AE19" s="142" t="s">
        <v>1750</v>
      </c>
      <c r="AF19" s="143"/>
      <c r="AG19" s="150"/>
      <c r="AH19" s="150"/>
      <c r="AI19" s="150"/>
      <c r="AJ19" s="135" t="s">
        <v>2815</v>
      </c>
      <c r="AK19" s="135" t="s">
        <v>2775</v>
      </c>
      <c r="AL19" s="151"/>
      <c r="AM19" s="151"/>
      <c r="AN19" s="170">
        <v>11</v>
      </c>
      <c r="AO19" s="170" t="s">
        <v>1550</v>
      </c>
      <c r="AP19" s="170">
        <v>3</v>
      </c>
      <c r="AQ19" s="170" t="s">
        <v>1557</v>
      </c>
      <c r="AR19" s="170">
        <v>3</v>
      </c>
      <c r="AS19" s="170" t="s">
        <v>1582</v>
      </c>
      <c r="AT19" s="170"/>
      <c r="AU19" s="170"/>
      <c r="AV19" s="170">
        <f>CEILING(AV18,1)</f>
        <v>0</v>
      </c>
      <c r="AW19" s="170"/>
      <c r="AX19" s="165" t="s">
        <v>1736</v>
      </c>
      <c r="AY19" s="135" t="s">
        <v>36</v>
      </c>
      <c r="AZ19" s="206">
        <f>VLOOKUP(AY19,'Tarieven ZIN prestaties'!$B$1:$D$84,2,FALSE)</f>
        <v>65.930000000000007</v>
      </c>
      <c r="BA19" s="207"/>
      <c r="BD19" s="181" t="s">
        <v>1235</v>
      </c>
      <c r="BE19" s="209">
        <v>810</v>
      </c>
      <c r="BF19" s="182" t="s">
        <v>1278</v>
      </c>
      <c r="BG19" s="210">
        <f>VLOOKUP(BD19,'PGB tarieven'!$A$7:$M$53,13,FALSE)</f>
        <v>62965</v>
      </c>
      <c r="BH19" s="211">
        <f t="shared" si="5"/>
        <v>1207.5479452054797</v>
      </c>
      <c r="BI19" s="193"/>
      <c r="BJ19" s="193"/>
      <c r="BK19" s="212" t="s">
        <v>1232</v>
      </c>
      <c r="BL19" s="175">
        <f>VLOOKUP(BK19,'Ruimte behandeling basis MPT'!$A$2:$H$41,8,FALSE)</f>
        <v>155.26630840628883</v>
      </c>
      <c r="BM19" s="181" t="s">
        <v>1217</v>
      </c>
      <c r="BN19" s="209">
        <v>753</v>
      </c>
      <c r="BO19" s="182" t="s">
        <v>1244</v>
      </c>
      <c r="BP19" s="253">
        <f>VLOOKUP(BM19,'PGB tarieven'!$A$7:$M$53,13,FALSE)</f>
        <v>37848</v>
      </c>
      <c r="BQ19" s="211">
        <f t="shared" si="12"/>
        <v>725.85205479452054</v>
      </c>
      <c r="BR19" s="135">
        <f ca="1">IF(BT8=0,8,0)</f>
        <v>0</v>
      </c>
      <c r="BY19" s="214" t="s">
        <v>1557</v>
      </c>
      <c r="BZ19" s="214">
        <v>3</v>
      </c>
      <c r="CA19" s="214"/>
      <c r="CB19" s="214"/>
      <c r="CC19" s="214"/>
      <c r="CD19" s="214"/>
      <c r="CE19" s="214"/>
      <c r="CF19" s="214"/>
      <c r="CG19" s="214"/>
      <c r="CH19" s="214"/>
      <c r="CI19" s="181" t="s">
        <v>1235</v>
      </c>
      <c r="CJ19" s="209" t="s">
        <v>1633</v>
      </c>
      <c r="CK19" s="215" t="s">
        <v>1244</v>
      </c>
      <c r="CL19" s="235" t="s">
        <v>1242</v>
      </c>
      <c r="CM19" s="236">
        <v>784</v>
      </c>
      <c r="CN19" s="237">
        <v>17176</v>
      </c>
      <c r="CO19" s="232">
        <f t="shared" si="8"/>
        <v>330.30769230769232</v>
      </c>
      <c r="CP19" s="236">
        <v>0</v>
      </c>
      <c r="CQ19" s="232">
        <f t="shared" si="9"/>
        <v>0</v>
      </c>
      <c r="CR19" s="237">
        <v>35682</v>
      </c>
      <c r="CS19" s="232">
        <f t="shared" si="10"/>
        <v>686.19230769230774</v>
      </c>
      <c r="CT19" s="237">
        <v>5487</v>
      </c>
      <c r="CU19" s="232">
        <f t="shared" si="11"/>
        <v>105.51923076923077</v>
      </c>
      <c r="CV19" s="237">
        <v>3357</v>
      </c>
      <c r="CW19" s="237">
        <v>61702</v>
      </c>
      <c r="CX19" s="233">
        <v>58345</v>
      </c>
      <c r="CZ19" s="135">
        <f>SUMIFS(F18:F31,B18:B31,"BGgrp",G18:G31,"minuten")</f>
        <v>0</v>
      </c>
      <c r="DA19" s="135">
        <f>CZ19/60</f>
        <v>0</v>
      </c>
      <c r="DK19" s="135">
        <f t="shared" si="2"/>
        <v>0</v>
      </c>
      <c r="DL19" s="135">
        <f t="shared" si="3"/>
        <v>0</v>
      </c>
      <c r="DM19" s="135">
        <f t="shared" si="4"/>
        <v>0</v>
      </c>
      <c r="DO19" s="142" t="s">
        <v>1758</v>
      </c>
      <c r="DP19" s="142" t="s">
        <v>1752</v>
      </c>
      <c r="DQ19" s="142" t="s">
        <v>1750</v>
      </c>
      <c r="DR19" s="142" t="s">
        <v>2662</v>
      </c>
      <c r="DS19" s="142" t="s">
        <v>1543</v>
      </c>
      <c r="DU19" s="181" t="s">
        <v>1237</v>
      </c>
      <c r="DV19" s="182" t="s">
        <v>1278</v>
      </c>
      <c r="DW19" s="135" t="s">
        <v>1631</v>
      </c>
      <c r="DX19" s="200">
        <f t="shared" si="13"/>
        <v>37.5</v>
      </c>
      <c r="DY19" s="254">
        <v>30</v>
      </c>
      <c r="EO19" s="135" t="s">
        <v>2816</v>
      </c>
      <c r="EP19" s="135" t="s">
        <v>2929</v>
      </c>
      <c r="ET19" s="135" t="s">
        <v>2836</v>
      </c>
      <c r="EU19" s="135" t="s">
        <v>2774</v>
      </c>
      <c r="EY19" s="135" t="s">
        <v>2655</v>
      </c>
      <c r="EZ19" s="135" t="s">
        <v>2863</v>
      </c>
      <c r="FA19" s="135" t="s">
        <v>3360</v>
      </c>
      <c r="FB19" s="135" t="str">
        <f t="shared" si="7"/>
        <v>8vgOpname</v>
      </c>
      <c r="FC19" s="156">
        <f>VLOOKUP(EZ19,'Tarieven ZZP'!$D$6:$J$134,7,FALSE)</f>
        <v>345.41</v>
      </c>
      <c r="FD19" s="156">
        <f t="shared" si="1"/>
        <v>2417.8700000000003</v>
      </c>
      <c r="FI19" s="181" t="s">
        <v>1200</v>
      </c>
      <c r="FJ19" s="135">
        <v>1</v>
      </c>
    </row>
    <row r="20" spans="1:166" ht="21" customHeight="1" thickBot="1" x14ac:dyDescent="0.35">
      <c r="A20" s="302"/>
      <c r="B20" s="285"/>
      <c r="C20" s="321">
        <f t="shared" si="14"/>
        <v>0</v>
      </c>
      <c r="D20" s="285"/>
      <c r="E20" s="285"/>
      <c r="F20" s="286"/>
      <c r="G20" s="287">
        <f t="shared" si="15"/>
        <v>0</v>
      </c>
      <c r="H20" s="363">
        <f t="shared" si="18"/>
        <v>0</v>
      </c>
      <c r="I20" s="364">
        <f t="shared" si="16"/>
        <v>0</v>
      </c>
      <c r="J20" s="305"/>
      <c r="K20" s="359">
        <f t="shared" si="17"/>
        <v>0</v>
      </c>
      <c r="L20" s="309"/>
      <c r="M20" s="480" t="str">
        <f ca="1">IFERROR(IF(Q24="gespecialiseerde verpleging",BS22,VLOOKUP(BR20,BR22:BS276,2,FALSE))," ")</f>
        <v>Eerst zorgvraag invullen</v>
      </c>
      <c r="N20" s="480"/>
      <c r="O20" s="480"/>
      <c r="P20" s="481"/>
      <c r="Q20" s="481"/>
      <c r="R20" s="481"/>
      <c r="S20" s="302"/>
      <c r="T20" s="281">
        <f ca="1">BW14</f>
        <v>0</v>
      </c>
      <c r="U20" s="256" t="s">
        <v>13</v>
      </c>
      <c r="V20" s="238"/>
      <c r="W20" s="223"/>
      <c r="X20" s="223"/>
      <c r="Y20" s="224" t="s">
        <v>1236</v>
      </c>
      <c r="Z20" s="223"/>
      <c r="AA20" s="255"/>
      <c r="AB20" s="140">
        <v>0.96</v>
      </c>
      <c r="AC20" s="146"/>
      <c r="AD20" s="146"/>
      <c r="AE20" s="142" t="s">
        <v>1668</v>
      </c>
      <c r="AF20" s="143"/>
      <c r="AG20" s="150"/>
      <c r="AH20" s="150"/>
      <c r="AI20" s="150"/>
      <c r="AJ20" s="135" t="s">
        <v>2816</v>
      </c>
      <c r="AK20" s="135" t="s">
        <v>2776</v>
      </c>
      <c r="AL20" s="151"/>
      <c r="AM20" s="151"/>
      <c r="AN20" s="170">
        <v>12</v>
      </c>
      <c r="AO20" s="170" t="s">
        <v>1550</v>
      </c>
      <c r="AP20" s="170">
        <v>4</v>
      </c>
      <c r="AQ20" s="170" t="s">
        <v>1558</v>
      </c>
      <c r="AR20" s="170">
        <v>4</v>
      </c>
      <c r="AS20" s="170" t="s">
        <v>1583</v>
      </c>
      <c r="AT20" s="170"/>
      <c r="AU20" s="170"/>
      <c r="AV20" s="170"/>
      <c r="AW20" s="170"/>
      <c r="AX20" s="165" t="s">
        <v>1653</v>
      </c>
      <c r="AY20" s="135" t="s">
        <v>22</v>
      </c>
      <c r="AZ20" s="206">
        <f>VLOOKUP(AY20,'Tarieven ZIN prestaties'!$B$1:$D$84,2,FALSE)</f>
        <v>98.2</v>
      </c>
      <c r="BA20" s="207"/>
      <c r="BD20" s="181" t="s">
        <v>1236</v>
      </c>
      <c r="BE20" s="209">
        <v>812</v>
      </c>
      <c r="BF20" s="182" t="s">
        <v>1278</v>
      </c>
      <c r="BG20" s="210">
        <f>VLOOKUP(BD20,'PGB tarieven'!$A$7:$M$53,13,FALSE)</f>
        <v>83583</v>
      </c>
      <c r="BH20" s="211">
        <f t="shared" si="5"/>
        <v>1602.9616438356163</v>
      </c>
      <c r="BI20" s="193"/>
      <c r="BJ20" s="193"/>
      <c r="BK20" s="212" t="s">
        <v>1233</v>
      </c>
      <c r="BL20" s="175">
        <f>VLOOKUP(BK20,'Ruimte behandeling basis MPT'!$A$2:$H$41,8,FALSE)</f>
        <v>265.65443599044096</v>
      </c>
      <c r="BM20" s="181" t="s">
        <v>1218</v>
      </c>
      <c r="BN20" s="209">
        <v>754</v>
      </c>
      <c r="BO20" s="182" t="s">
        <v>1244</v>
      </c>
      <c r="BP20" s="253">
        <f>VLOOKUP(BM20,'PGB tarieven'!$A$7:$M$53,13,FALSE)</f>
        <v>51351</v>
      </c>
      <c r="BQ20" s="211">
        <f t="shared" si="12"/>
        <v>984.81369863013697</v>
      </c>
      <c r="BR20" s="135">
        <f ca="1">IF(AND(BR21=2085,M17&lt;I35),2,BR21)</f>
        <v>1105</v>
      </c>
      <c r="BS20" s="135">
        <f ca="1">IF(E45=0,100,0)</f>
        <v>100</v>
      </c>
      <c r="BT20" s="135">
        <f>IF(R21="ja",80,0)</f>
        <v>0</v>
      </c>
      <c r="BU20" s="135">
        <f>IF(G12="ja",500,0)</f>
        <v>0</v>
      </c>
      <c r="BV20" s="135">
        <f>IF(R21="ja",1000,0)</f>
        <v>0</v>
      </c>
      <c r="BW20" s="135">
        <f>IF(Q24="palliatief terminale zorg",1000,0)</f>
        <v>0</v>
      </c>
      <c r="BY20" s="214" t="s">
        <v>1558</v>
      </c>
      <c r="BZ20" s="214">
        <v>4</v>
      </c>
      <c r="CA20" s="214"/>
      <c r="CB20" s="214"/>
      <c r="CC20" s="214"/>
      <c r="CD20" s="214"/>
      <c r="CE20" s="214"/>
      <c r="CF20" s="214"/>
      <c r="CG20" s="214"/>
      <c r="CH20" s="214"/>
      <c r="CI20" s="181" t="s">
        <v>1236</v>
      </c>
      <c r="CJ20" s="209" t="s">
        <v>1633</v>
      </c>
      <c r="CK20" s="215" t="s">
        <v>1244</v>
      </c>
      <c r="CL20" s="230" t="s">
        <v>1243</v>
      </c>
      <c r="CM20" s="231">
        <v>790</v>
      </c>
      <c r="CN20" s="232">
        <v>8220</v>
      </c>
      <c r="CO20" s="232">
        <f t="shared" si="8"/>
        <v>158.07692307692307</v>
      </c>
      <c r="CP20" s="231">
        <v>0</v>
      </c>
      <c r="CQ20" s="232">
        <f t="shared" si="9"/>
        <v>0</v>
      </c>
      <c r="CR20" s="232">
        <v>35682</v>
      </c>
      <c r="CS20" s="232">
        <f t="shared" si="10"/>
        <v>686.19230769230774</v>
      </c>
      <c r="CT20" s="232">
        <v>8232</v>
      </c>
      <c r="CU20" s="232">
        <f t="shared" si="11"/>
        <v>158.30769230769232</v>
      </c>
      <c r="CV20" s="232">
        <v>3357</v>
      </c>
      <c r="CW20" s="232">
        <v>55491</v>
      </c>
      <c r="CX20" s="233">
        <v>52134</v>
      </c>
      <c r="CZ20" s="135">
        <f>SUMIFS(F18:F31,B18:B31,"BGgrp",G18:G31,"Dagdelen")</f>
        <v>0</v>
      </c>
      <c r="DO20" s="142" t="s">
        <v>1761</v>
      </c>
      <c r="DP20" s="142" t="s">
        <v>1753</v>
      </c>
      <c r="DQ20" s="142" t="s">
        <v>1668</v>
      </c>
      <c r="DR20" s="142" t="s">
        <v>2663</v>
      </c>
      <c r="DS20" s="142" t="s">
        <v>1543</v>
      </c>
      <c r="DU20" s="181" t="s">
        <v>1198</v>
      </c>
      <c r="DV20" s="182" t="s">
        <v>1278</v>
      </c>
      <c r="DW20" s="135" t="s">
        <v>1598</v>
      </c>
      <c r="DX20" s="200">
        <f t="shared" si="13"/>
        <v>18.125</v>
      </c>
      <c r="DY20" s="135">
        <v>14.5</v>
      </c>
      <c r="EO20" s="135" t="s">
        <v>2809</v>
      </c>
      <c r="EP20" s="135" t="s">
        <v>2770</v>
      </c>
      <c r="ET20" s="135" t="s">
        <v>2838</v>
      </c>
      <c r="EU20" s="135" t="s">
        <v>2934</v>
      </c>
      <c r="EY20" s="135" t="s">
        <v>2691</v>
      </c>
      <c r="EZ20" s="135" t="s">
        <v>2864</v>
      </c>
      <c r="FA20" s="135" t="s">
        <v>3360</v>
      </c>
      <c r="FB20" s="135" t="str">
        <f t="shared" si="7"/>
        <v>1lvgOpname</v>
      </c>
      <c r="FC20" s="156">
        <f>VLOOKUP(EZ20,'Tarieven ZZP'!$D$6:$J$134,7,FALSE)</f>
        <v>218.26</v>
      </c>
      <c r="FD20" s="156">
        <f t="shared" si="1"/>
        <v>1527.82</v>
      </c>
      <c r="FI20" s="181" t="s">
        <v>1201</v>
      </c>
      <c r="FJ20" s="135">
        <v>1</v>
      </c>
    </row>
    <row r="21" spans="1:166" ht="21" customHeight="1" thickBot="1" x14ac:dyDescent="0.35">
      <c r="A21" s="302"/>
      <c r="B21" s="285"/>
      <c r="C21" s="321">
        <f t="shared" si="14"/>
        <v>0</v>
      </c>
      <c r="D21" s="285"/>
      <c r="E21" s="285"/>
      <c r="F21" s="286"/>
      <c r="G21" s="287">
        <f t="shared" si="15"/>
        <v>0</v>
      </c>
      <c r="H21" s="363">
        <f t="shared" si="18"/>
        <v>0</v>
      </c>
      <c r="I21" s="364">
        <f t="shared" si="16"/>
        <v>0</v>
      </c>
      <c r="J21" s="305"/>
      <c r="K21" s="359">
        <f t="shared" si="17"/>
        <v>0</v>
      </c>
      <c r="L21" s="303"/>
      <c r="M21" s="320" t="s">
        <v>1696</v>
      </c>
      <c r="N21" s="323"/>
      <c r="O21" s="324"/>
      <c r="P21" s="324"/>
      <c r="Q21" s="316"/>
      <c r="R21" s="356"/>
      <c r="S21" s="302"/>
      <c r="T21" s="135">
        <f ca="1">IF(M20="PGB: rekenmodule voorleggen aan zorgkantoor",1,0)</f>
        <v>0</v>
      </c>
      <c r="V21" s="258"/>
      <c r="W21" s="259"/>
      <c r="X21" s="259"/>
      <c r="Y21" s="257" t="s">
        <v>1237</v>
      </c>
      <c r="Z21" s="259"/>
      <c r="AA21" s="260"/>
      <c r="AB21" s="140">
        <v>0.96499999999999997</v>
      </c>
      <c r="AC21" s="146"/>
      <c r="AD21" s="146"/>
      <c r="AE21" s="142" t="s">
        <v>1752</v>
      </c>
      <c r="AF21" s="143"/>
      <c r="AG21" s="150"/>
      <c r="AH21" s="150"/>
      <c r="AI21" s="150"/>
      <c r="AJ21" s="135" t="s">
        <v>2817</v>
      </c>
      <c r="AK21" s="135" t="s">
        <v>2777</v>
      </c>
      <c r="AL21" s="151"/>
      <c r="AM21" s="151"/>
      <c r="AN21" s="170">
        <v>13</v>
      </c>
      <c r="AO21" s="170" t="s">
        <v>1551</v>
      </c>
      <c r="AP21" s="170">
        <v>5</v>
      </c>
      <c r="AQ21" s="170" t="s">
        <v>1559</v>
      </c>
      <c r="AR21" s="170">
        <v>5</v>
      </c>
      <c r="AS21" s="170" t="s">
        <v>1584</v>
      </c>
      <c r="AT21" s="170"/>
      <c r="AU21" s="170"/>
      <c r="AV21" s="170"/>
      <c r="AW21" s="170"/>
      <c r="AX21" s="165" t="s">
        <v>1737</v>
      </c>
      <c r="AY21" s="135" t="s">
        <v>32</v>
      </c>
      <c r="AZ21" s="206">
        <f>VLOOKUP(AY21,'Tarieven ZIN prestaties'!$B$1:$D$84,2,FALSE)</f>
        <v>105.29</v>
      </c>
      <c r="BA21" s="207"/>
      <c r="BD21" s="181" t="s">
        <v>1237</v>
      </c>
      <c r="BE21" s="209">
        <v>814</v>
      </c>
      <c r="BF21" s="182" t="s">
        <v>1278</v>
      </c>
      <c r="BG21" s="210">
        <f>VLOOKUP(BD21,'PGB tarieven'!$A$7:$M$53,13,FALSE)</f>
        <v>73666</v>
      </c>
      <c r="BH21" s="211">
        <f t="shared" si="5"/>
        <v>1412.7726027397259</v>
      </c>
      <c r="BI21" s="193"/>
      <c r="BJ21" s="193"/>
      <c r="BK21" s="212" t="s">
        <v>1234</v>
      </c>
      <c r="BL21" s="175">
        <f>VLOOKUP(BK21,'Ruimte behandeling basis MPT'!$A$2:$H$41,8,FALSE)</f>
        <v>222.21990190689093</v>
      </c>
      <c r="BM21" s="181" t="s">
        <v>1219</v>
      </c>
      <c r="BN21" s="209">
        <v>755</v>
      </c>
      <c r="BO21" s="182" t="s">
        <v>1244</v>
      </c>
      <c r="BP21" s="253">
        <f>VLOOKUP(BM21,'PGB tarieven'!$A$7:$M$53,13,FALSE)</f>
        <v>51351</v>
      </c>
      <c r="BQ21" s="211">
        <f t="shared" si="12"/>
        <v>984.81369863013697</v>
      </c>
      <c r="BR21" s="135">
        <f ca="1">IF(AND(F5="opname",SUM(F18:F20)=16),1,IF(AND(F5="VPT",SUM(F18:F20)=16),1,$BR$14+$BR$18+$BR$9+$BR$19+$BS$20+$BT$20+$BU$20+$BV$20+$BW$21))</f>
        <v>1105</v>
      </c>
      <c r="BW21" s="135">
        <f ca="1">IF(OR(BW20=1000,K35&lt;126%),1000,0)</f>
        <v>1000</v>
      </c>
      <c r="BY21" s="214" t="s">
        <v>1559</v>
      </c>
      <c r="BZ21" s="214">
        <v>5</v>
      </c>
      <c r="CA21" s="214"/>
      <c r="CB21" s="214"/>
      <c r="CC21" s="214"/>
      <c r="CD21" s="214"/>
      <c r="CE21" s="214"/>
      <c r="CF21" s="214"/>
      <c r="CG21" s="214"/>
      <c r="CH21" s="214"/>
      <c r="CI21" s="181" t="s">
        <v>1237</v>
      </c>
      <c r="CJ21" s="209" t="s">
        <v>1633</v>
      </c>
      <c r="CK21" s="215" t="s">
        <v>1244</v>
      </c>
      <c r="CL21" s="235" t="s">
        <v>1230</v>
      </c>
      <c r="CM21" s="236">
        <v>800</v>
      </c>
      <c r="CN21" s="237">
        <v>4491</v>
      </c>
      <c r="CO21" s="232">
        <f t="shared" si="8"/>
        <v>86.365384615384613</v>
      </c>
      <c r="CP21" s="236">
        <v>0</v>
      </c>
      <c r="CQ21" s="232">
        <f t="shared" si="9"/>
        <v>0</v>
      </c>
      <c r="CR21" s="237">
        <v>10907</v>
      </c>
      <c r="CS21" s="232">
        <f t="shared" si="10"/>
        <v>209.75</v>
      </c>
      <c r="CT21" s="237">
        <v>13721</v>
      </c>
      <c r="CU21" s="232">
        <f t="shared" si="11"/>
        <v>263.86538461538464</v>
      </c>
      <c r="CV21" s="237">
        <v>3357</v>
      </c>
      <c r="CW21" s="237">
        <v>32476</v>
      </c>
      <c r="CX21" s="233">
        <v>29119</v>
      </c>
      <c r="DO21" s="142" t="s">
        <v>1764</v>
      </c>
      <c r="DP21" s="142" t="s">
        <v>1755</v>
      </c>
      <c r="DQ21" s="142" t="s">
        <v>1752</v>
      </c>
      <c r="DR21" s="142" t="s">
        <v>2664</v>
      </c>
      <c r="DS21" s="142" t="s">
        <v>1543</v>
      </c>
      <c r="DU21" s="181" t="s">
        <v>1199</v>
      </c>
      <c r="DV21" s="182" t="s">
        <v>1278</v>
      </c>
      <c r="DW21" s="135" t="s">
        <v>1598</v>
      </c>
      <c r="DX21" s="200">
        <f t="shared" si="13"/>
        <v>25</v>
      </c>
      <c r="DY21" s="135">
        <v>20</v>
      </c>
      <c r="EO21" s="135" t="s">
        <v>2817</v>
      </c>
      <c r="EP21" s="135" t="s">
        <v>2930</v>
      </c>
      <c r="ET21" s="135" t="s">
        <v>2837</v>
      </c>
      <c r="EU21" s="135" t="s">
        <v>2775</v>
      </c>
      <c r="EY21" s="135" t="s">
        <v>2692</v>
      </c>
      <c r="EZ21" s="135" t="s">
        <v>2865</v>
      </c>
      <c r="FA21" s="135" t="s">
        <v>3360</v>
      </c>
      <c r="FB21" s="135" t="str">
        <f t="shared" si="7"/>
        <v>2lvgOpname</v>
      </c>
      <c r="FC21" s="156">
        <f>VLOOKUP(EZ21,'Tarieven ZZP'!$D$6:$J$134,7,FALSE)</f>
        <v>259.58</v>
      </c>
      <c r="FD21" s="156">
        <f t="shared" si="1"/>
        <v>1817.06</v>
      </c>
      <c r="FI21" s="181" t="s">
        <v>1202</v>
      </c>
      <c r="FJ21" s="135">
        <v>1</v>
      </c>
    </row>
    <row r="22" spans="1:166" ht="21" customHeight="1" thickBot="1" x14ac:dyDescent="0.35">
      <c r="A22" s="302"/>
      <c r="B22" s="285"/>
      <c r="C22" s="321">
        <f t="shared" si="14"/>
        <v>0</v>
      </c>
      <c r="D22" s="285"/>
      <c r="E22" s="285"/>
      <c r="F22" s="286"/>
      <c r="G22" s="287">
        <f t="shared" si="15"/>
        <v>0</v>
      </c>
      <c r="H22" s="363">
        <f t="shared" si="18"/>
        <v>0</v>
      </c>
      <c r="I22" s="364">
        <f t="shared" si="16"/>
        <v>0</v>
      </c>
      <c r="J22" s="305"/>
      <c r="K22" s="359">
        <f t="shared" si="17"/>
        <v>0</v>
      </c>
      <c r="L22" s="303"/>
      <c r="M22" s="320" t="s">
        <v>1601</v>
      </c>
      <c r="N22" s="323"/>
      <c r="O22" s="324"/>
      <c r="P22" s="324"/>
      <c r="Q22" s="472"/>
      <c r="R22" s="472"/>
      <c r="S22" s="302"/>
      <c r="T22" s="135">
        <f ca="1">IF(I32&gt;T1,2,0)</f>
        <v>0</v>
      </c>
      <c r="X22" s="390" t="s">
        <v>3463</v>
      </c>
      <c r="Y22" s="141" t="s">
        <v>3470</v>
      </c>
      <c r="Z22" s="389" t="s">
        <v>3509</v>
      </c>
      <c r="AB22" s="140">
        <v>0.97</v>
      </c>
      <c r="AC22" s="146"/>
      <c r="AD22" s="146"/>
      <c r="AE22" s="142" t="s">
        <v>1753</v>
      </c>
      <c r="AF22" s="143"/>
      <c r="AG22" s="150"/>
      <c r="AH22" s="150"/>
      <c r="AI22" s="150"/>
      <c r="AJ22" s="135" t="s">
        <v>2818</v>
      </c>
      <c r="AK22" s="135" t="s">
        <v>2778</v>
      </c>
      <c r="AL22" s="151"/>
      <c r="AM22" s="151"/>
      <c r="AN22" s="170">
        <v>14</v>
      </c>
      <c r="AO22" s="170" t="s">
        <v>1551</v>
      </c>
      <c r="AP22" s="170">
        <v>6</v>
      </c>
      <c r="AQ22" s="170" t="s">
        <v>1560</v>
      </c>
      <c r="AR22" s="170">
        <v>6</v>
      </c>
      <c r="AS22" s="170" t="s">
        <v>1585</v>
      </c>
      <c r="AT22" s="170"/>
      <c r="AU22" s="170"/>
      <c r="AV22" s="170"/>
      <c r="AW22" s="170"/>
      <c r="AX22" s="165" t="s">
        <v>1666</v>
      </c>
      <c r="AY22" s="135" t="s">
        <v>528</v>
      </c>
      <c r="AZ22" s="206">
        <f>VLOOKUP(AY22,'Tarieven ZIN prestaties'!$B$1:$D$84,2,FALSE)</f>
        <v>97.16</v>
      </c>
      <c r="BA22" s="207"/>
      <c r="BD22" s="181" t="s">
        <v>1198</v>
      </c>
      <c r="BE22" s="209">
        <v>820</v>
      </c>
      <c r="BF22" s="182" t="s">
        <v>1278</v>
      </c>
      <c r="BG22" s="210">
        <f>VLOOKUP(BD22,'PGB tarieven'!$A$7:$M$53,13,FALSE)</f>
        <v>46037</v>
      </c>
      <c r="BH22" s="211">
        <f t="shared" si="5"/>
        <v>882.90136986301377</v>
      </c>
      <c r="BI22" s="193"/>
      <c r="BJ22" s="193"/>
      <c r="BK22" s="212" t="s">
        <v>1235</v>
      </c>
      <c r="BL22" s="175">
        <f>VLOOKUP(BK22,'Ruimte behandeling basis MPT'!$A$2:$H$41,8,FALSE)</f>
        <v>295.10335560496634</v>
      </c>
      <c r="BM22" s="181" t="s">
        <v>1220</v>
      </c>
      <c r="BN22" s="209">
        <v>756</v>
      </c>
      <c r="BO22" s="182" t="s">
        <v>1244</v>
      </c>
      <c r="BP22" s="253">
        <f>VLOOKUP(BM22,'PGB tarieven'!$A$7:$M$53,13,FALSE)</f>
        <v>64324</v>
      </c>
      <c r="BQ22" s="211">
        <f t="shared" si="12"/>
        <v>1233.6109589041096</v>
      </c>
      <c r="BR22" s="135">
        <v>1</v>
      </c>
      <c r="BS22" s="135" t="s">
        <v>1813</v>
      </c>
      <c r="BY22" s="214" t="s">
        <v>1560</v>
      </c>
      <c r="BZ22" s="214">
        <v>6</v>
      </c>
      <c r="CA22" s="214"/>
      <c r="CB22" s="214"/>
      <c r="CC22" s="214"/>
      <c r="CD22" s="214"/>
      <c r="CE22" s="214"/>
      <c r="CF22" s="214"/>
      <c r="CG22" s="214"/>
      <c r="CH22" s="214"/>
      <c r="CI22" s="181" t="s">
        <v>1198</v>
      </c>
      <c r="CJ22" s="209" t="s">
        <v>1633</v>
      </c>
      <c r="CK22" s="215" t="s">
        <v>1244</v>
      </c>
      <c r="CL22" s="230" t="s">
        <v>1231</v>
      </c>
      <c r="CM22" s="231">
        <v>802</v>
      </c>
      <c r="CN22" s="232">
        <v>4491</v>
      </c>
      <c r="CO22" s="232">
        <f t="shared" si="8"/>
        <v>86.365384615384613</v>
      </c>
      <c r="CP22" s="231">
        <v>0</v>
      </c>
      <c r="CQ22" s="232">
        <f t="shared" si="9"/>
        <v>0</v>
      </c>
      <c r="CR22" s="232">
        <v>16866</v>
      </c>
      <c r="CS22" s="232">
        <f t="shared" si="10"/>
        <v>324.34615384615387</v>
      </c>
      <c r="CT22" s="232">
        <v>13721</v>
      </c>
      <c r="CU22" s="232">
        <f t="shared" si="11"/>
        <v>263.86538461538464</v>
      </c>
      <c r="CV22" s="232">
        <v>3357</v>
      </c>
      <c r="CW22" s="232">
        <v>38435</v>
      </c>
      <c r="CX22" s="233">
        <v>35078</v>
      </c>
      <c r="DO22" s="142" t="s">
        <v>1767</v>
      </c>
      <c r="DP22" s="142" t="s">
        <v>1756</v>
      </c>
      <c r="DQ22" s="142" t="s">
        <v>1753</v>
      </c>
      <c r="DR22" s="142" t="s">
        <v>2665</v>
      </c>
      <c r="DS22" s="142" t="s">
        <v>1543</v>
      </c>
      <c r="DU22" s="181" t="s">
        <v>1200</v>
      </c>
      <c r="DV22" s="182" t="s">
        <v>1278</v>
      </c>
      <c r="DW22" s="135" t="s">
        <v>1598</v>
      </c>
      <c r="DX22" s="200">
        <f t="shared" si="13"/>
        <v>25</v>
      </c>
      <c r="DY22" s="135">
        <v>20</v>
      </c>
      <c r="EO22" s="135" t="s">
        <v>2810</v>
      </c>
      <c r="EP22" s="135" t="s">
        <v>2771</v>
      </c>
      <c r="ET22" s="135" t="s">
        <v>2839</v>
      </c>
      <c r="EU22" s="135" t="s">
        <v>2935</v>
      </c>
      <c r="EY22" s="135" t="s">
        <v>2693</v>
      </c>
      <c r="EZ22" s="135" t="s">
        <v>2866</v>
      </c>
      <c r="FA22" s="135" t="s">
        <v>3360</v>
      </c>
      <c r="FB22" s="135" t="str">
        <f t="shared" si="7"/>
        <v>3lvgOpname</v>
      </c>
      <c r="FC22" s="156">
        <f>VLOOKUP(EZ22,'Tarieven ZZP'!$D$6:$J$134,7,FALSE)</f>
        <v>337.38</v>
      </c>
      <c r="FD22" s="156">
        <f t="shared" si="1"/>
        <v>2361.66</v>
      </c>
      <c r="FI22" s="181" t="s">
        <v>1203</v>
      </c>
      <c r="FJ22" s="135">
        <v>1</v>
      </c>
    </row>
    <row r="23" spans="1:166" ht="21" customHeight="1" thickBot="1" x14ac:dyDescent="0.4">
      <c r="A23" s="302"/>
      <c r="B23" s="285"/>
      <c r="C23" s="321">
        <f t="shared" si="14"/>
        <v>0</v>
      </c>
      <c r="D23" s="285"/>
      <c r="E23" s="285"/>
      <c r="F23" s="286"/>
      <c r="G23" s="287">
        <f>DM11</f>
        <v>0</v>
      </c>
      <c r="H23" s="363">
        <f t="shared" si="18"/>
        <v>0</v>
      </c>
      <c r="I23" s="364">
        <f t="shared" si="16"/>
        <v>0</v>
      </c>
      <c r="J23" s="305"/>
      <c r="K23" s="359">
        <f t="shared" si="17"/>
        <v>0</v>
      </c>
      <c r="L23" s="303"/>
      <c r="M23" s="320" t="s">
        <v>1691</v>
      </c>
      <c r="N23" s="323"/>
      <c r="O23" s="323"/>
      <c r="P23" s="323"/>
      <c r="Q23" s="472"/>
      <c r="R23" s="472"/>
      <c r="S23" s="302"/>
      <c r="T23" s="135">
        <f ca="1">SUM(T21:T22)</f>
        <v>0</v>
      </c>
      <c r="V23" s="135" t="s">
        <v>1692</v>
      </c>
      <c r="W23" s="135" t="s">
        <v>1692</v>
      </c>
      <c r="X23" s="390" t="str">
        <f>IF(Q22="Ja; extra kosten thuis",X25,IF(Q22="Ja; ouder met kind jonger dan 18 die thuis woont",X26,IF(Q22="Ja; sprake van betaalde arbeid",X27,"")))</f>
        <v/>
      </c>
      <c r="Y23" s="141" t="str">
        <f>IF(Q23="ja invasieve beademing","invasieve beademing",IF(Q23="ja non-invasieve beademing","non-invasieve beademing",""))</f>
        <v/>
      </c>
      <c r="Z23" s="389" t="s">
        <v>3511</v>
      </c>
      <c r="AB23" s="140">
        <v>0.97499999999999998</v>
      </c>
      <c r="AC23" s="146"/>
      <c r="AD23" s="146"/>
      <c r="AE23" s="142" t="s">
        <v>1754</v>
      </c>
      <c r="AF23" s="143"/>
      <c r="AG23" s="150"/>
      <c r="AH23" s="150"/>
      <c r="AI23" s="150"/>
      <c r="AJ23" s="135" t="s">
        <v>2819</v>
      </c>
      <c r="AK23" s="135" t="s">
        <v>2779</v>
      </c>
      <c r="AL23" s="151"/>
      <c r="AM23" s="151"/>
      <c r="AN23" s="170">
        <v>15</v>
      </c>
      <c r="AO23" s="170" t="s">
        <v>1551</v>
      </c>
      <c r="AP23" s="170">
        <v>7</v>
      </c>
      <c r="AQ23" s="170" t="s">
        <v>1561</v>
      </c>
      <c r="AR23" s="170">
        <v>7</v>
      </c>
      <c r="AS23" s="170" t="s">
        <v>1586</v>
      </c>
      <c r="AT23" s="170"/>
      <c r="AU23" s="170"/>
      <c r="AV23" s="170"/>
      <c r="AW23" s="170"/>
      <c r="AX23" s="165" t="s">
        <v>1652</v>
      </c>
      <c r="AY23" s="135" t="s">
        <v>24</v>
      </c>
      <c r="AZ23" s="206">
        <f>VLOOKUP(AY23,'Tarieven ZIN prestaties'!$B$1:$D$84,2,FALSE)</f>
        <v>61.56</v>
      </c>
      <c r="BA23" s="207"/>
      <c r="BD23" s="181" t="s">
        <v>1199</v>
      </c>
      <c r="BE23" s="209">
        <v>822</v>
      </c>
      <c r="BF23" s="182" t="s">
        <v>1278</v>
      </c>
      <c r="BG23" s="210">
        <f>VLOOKUP(BD23,'PGB tarieven'!$A$7:$M$53,13,FALSE)</f>
        <v>55011</v>
      </c>
      <c r="BH23" s="211">
        <f t="shared" si="5"/>
        <v>1055.0054794520547</v>
      </c>
      <c r="BI23" s="193"/>
      <c r="BJ23" s="193"/>
      <c r="BK23" s="212" t="s">
        <v>1236</v>
      </c>
      <c r="BL23" s="175">
        <f>VLOOKUP(BK23,'Ruimte behandeling basis MPT'!$A$2:$H$41,8,FALSE)</f>
        <v>513.85928457185184</v>
      </c>
      <c r="BM23" s="181" t="s">
        <v>1221</v>
      </c>
      <c r="BN23" s="209">
        <v>757</v>
      </c>
      <c r="BO23" s="182" t="s">
        <v>1244</v>
      </c>
      <c r="BP23" s="253">
        <f>VLOOKUP(BM23,'PGB tarieven'!$A$7:$M$53,13,FALSE)</f>
        <v>76770</v>
      </c>
      <c r="BQ23" s="211">
        <f t="shared" si="12"/>
        <v>1472.3013698630136</v>
      </c>
      <c r="BR23" s="135">
        <v>2</v>
      </c>
      <c r="BS23" s="135" t="s">
        <v>1814</v>
      </c>
      <c r="BY23" s="214" t="s">
        <v>1561</v>
      </c>
      <c r="BZ23" s="214">
        <v>7</v>
      </c>
      <c r="CA23" s="214"/>
      <c r="CB23" s="214"/>
      <c r="CC23" s="214"/>
      <c r="CD23" s="214"/>
      <c r="CE23" s="214"/>
      <c r="CF23" s="214"/>
      <c r="CG23" s="214"/>
      <c r="CH23" s="214"/>
      <c r="CI23" s="181" t="s">
        <v>1199</v>
      </c>
      <c r="CJ23" s="209" t="s">
        <v>1633</v>
      </c>
      <c r="CK23" s="215" t="s">
        <v>1244</v>
      </c>
      <c r="CL23" s="235" t="s">
        <v>1232</v>
      </c>
      <c r="CM23" s="236">
        <v>804</v>
      </c>
      <c r="CN23" s="237">
        <v>1497</v>
      </c>
      <c r="CO23" s="232">
        <f t="shared" si="8"/>
        <v>28.78846153846154</v>
      </c>
      <c r="CP23" s="236">
        <v>0</v>
      </c>
      <c r="CQ23" s="232">
        <f t="shared" si="9"/>
        <v>0</v>
      </c>
      <c r="CR23" s="237">
        <v>22788</v>
      </c>
      <c r="CS23" s="232">
        <f t="shared" si="10"/>
        <v>438.23076923076923</v>
      </c>
      <c r="CT23" s="237">
        <v>16170</v>
      </c>
      <c r="CU23" s="232">
        <f t="shared" si="11"/>
        <v>310.96153846153845</v>
      </c>
      <c r="CV23" s="237">
        <v>3357</v>
      </c>
      <c r="CW23" s="237">
        <v>43812</v>
      </c>
      <c r="CX23" s="233">
        <v>40455</v>
      </c>
      <c r="DP23" s="142" t="s">
        <v>1758</v>
      </c>
      <c r="DQ23" s="142" t="s">
        <v>1754</v>
      </c>
      <c r="DR23" s="142" t="s">
        <v>2666</v>
      </c>
      <c r="DS23" s="142" t="s">
        <v>2690</v>
      </c>
      <c r="DU23" s="181" t="s">
        <v>1201</v>
      </c>
      <c r="DV23" s="182" t="s">
        <v>1278</v>
      </c>
      <c r="DW23" s="135" t="s">
        <v>1598</v>
      </c>
      <c r="DX23" s="200">
        <f t="shared" si="13"/>
        <v>28.75</v>
      </c>
      <c r="DY23" s="135">
        <v>23</v>
      </c>
      <c r="EO23" s="135" t="s">
        <v>2818</v>
      </c>
      <c r="EP23" s="135" t="s">
        <v>2931</v>
      </c>
      <c r="ET23" s="135" t="s">
        <v>2840</v>
      </c>
      <c r="EU23" s="135" t="s">
        <v>2776</v>
      </c>
      <c r="EY23" s="135" t="s">
        <v>2694</v>
      </c>
      <c r="EZ23" s="135" t="s">
        <v>2867</v>
      </c>
      <c r="FA23" s="135" t="s">
        <v>3360</v>
      </c>
      <c r="FB23" s="135" t="str">
        <f t="shared" si="7"/>
        <v>4lvgOpname</v>
      </c>
      <c r="FC23" s="156">
        <f>VLOOKUP(EZ23,'Tarieven ZZP'!$D$6:$J$134,7,FALSE)</f>
        <v>385.52</v>
      </c>
      <c r="FD23" s="156">
        <f t="shared" si="1"/>
        <v>2698.64</v>
      </c>
      <c r="FI23" s="181" t="s">
        <v>1204</v>
      </c>
      <c r="FJ23" s="135">
        <v>1</v>
      </c>
    </row>
    <row r="24" spans="1:166" ht="21" customHeight="1" thickBot="1" x14ac:dyDescent="0.4">
      <c r="A24" s="302"/>
      <c r="B24" s="285"/>
      <c r="C24" s="321">
        <f t="shared" si="14"/>
        <v>0</v>
      </c>
      <c r="D24" s="285"/>
      <c r="E24" s="285"/>
      <c r="F24" s="286"/>
      <c r="G24" s="287">
        <f t="shared" si="15"/>
        <v>0</v>
      </c>
      <c r="H24" s="363">
        <f t="shared" si="18"/>
        <v>0</v>
      </c>
      <c r="I24" s="364">
        <f t="shared" si="16"/>
        <v>0</v>
      </c>
      <c r="J24" s="305"/>
      <c r="K24" s="359">
        <f t="shared" si="17"/>
        <v>0</v>
      </c>
      <c r="L24" s="303"/>
      <c r="M24" s="320" t="s">
        <v>1805</v>
      </c>
      <c r="N24" s="323"/>
      <c r="O24" s="323"/>
      <c r="P24" s="323"/>
      <c r="Q24" s="472"/>
      <c r="R24" s="472"/>
      <c r="S24" s="302"/>
      <c r="V24" s="136" t="s">
        <v>1697</v>
      </c>
      <c r="W24" s="136" t="s">
        <v>1697</v>
      </c>
      <c r="X24" s="391" t="s">
        <v>1811</v>
      </c>
      <c r="Y24" s="391" t="str">
        <f>IF(Q24="extra overbruggingszorg (actief wachtend)",Z22,IF(Q24="palliatief terminale zorg",Z23,IF(Q24="meerzorg",Z24,IF(Q24="extra budget voor behandeling",Z25,IF(Q24="overig",Z26,IF(Q24="Gespecialiseerde verpleging",Z27,""))))))</f>
        <v/>
      </c>
      <c r="Z24" s="389" t="s">
        <v>1809</v>
      </c>
      <c r="AA24" s="136"/>
      <c r="AB24" s="152">
        <v>0.98</v>
      </c>
      <c r="AC24" s="150"/>
      <c r="AD24" s="153"/>
      <c r="AE24" s="142" t="s">
        <v>1755</v>
      </c>
      <c r="AF24" s="143"/>
      <c r="AG24" s="150"/>
      <c r="AH24" s="150"/>
      <c r="AI24" s="150"/>
      <c r="AJ24" s="135" t="s">
        <v>2820</v>
      </c>
      <c r="AK24" s="135" t="s">
        <v>2780</v>
      </c>
      <c r="AL24" s="151"/>
      <c r="AM24" s="151"/>
      <c r="AN24" s="170">
        <v>16</v>
      </c>
      <c r="AO24" s="170" t="s">
        <v>1552</v>
      </c>
      <c r="AP24" s="170">
        <v>8</v>
      </c>
      <c r="AQ24" s="170" t="s">
        <v>1562</v>
      </c>
      <c r="AR24" s="170"/>
      <c r="AS24" s="170"/>
      <c r="AT24" s="170"/>
      <c r="AU24" s="170"/>
      <c r="AV24" s="170"/>
      <c r="AW24" s="170"/>
      <c r="AX24" s="165" t="s">
        <v>1654</v>
      </c>
      <c r="AY24" s="135" t="s">
        <v>504</v>
      </c>
      <c r="AZ24" s="206">
        <f>VLOOKUP(AY24,'Tarieven ZIN prestaties'!$B$1:$D$84,2,FALSE)</f>
        <v>109.32</v>
      </c>
      <c r="BA24" s="207"/>
      <c r="BD24" s="181" t="s">
        <v>1200</v>
      </c>
      <c r="BE24" s="209">
        <v>824</v>
      </c>
      <c r="BF24" s="182" t="s">
        <v>1278</v>
      </c>
      <c r="BG24" s="210">
        <f>VLOOKUP(BD24,'PGB tarieven'!$A$7:$M$53,13,FALSE)</f>
        <v>51182</v>
      </c>
      <c r="BH24" s="211">
        <f t="shared" si="5"/>
        <v>981.57260273972599</v>
      </c>
      <c r="BI24" s="193"/>
      <c r="BJ24" s="193"/>
      <c r="BK24" s="212" t="s">
        <v>1237</v>
      </c>
      <c r="BL24" s="175">
        <f>VLOOKUP(BK24,'Ruimte behandeling basis MPT'!$A$2:$H$41,8,FALSE)</f>
        <v>306.16051190907967</v>
      </c>
      <c r="BM24" s="181" t="s">
        <v>1596</v>
      </c>
      <c r="BN24" s="209">
        <v>191</v>
      </c>
      <c r="BO24" s="182" t="s">
        <v>1244</v>
      </c>
      <c r="BP24" s="253">
        <f>VLOOKUP(BM24,'PGB tarieven'!$A$7:$M$53,13,FALSE)</f>
        <v>49229</v>
      </c>
      <c r="BQ24" s="211">
        <f t="shared" si="12"/>
        <v>944.11780821917796</v>
      </c>
      <c r="BR24" s="135">
        <v>3</v>
      </c>
      <c r="BS24" s="135" t="s">
        <v>1814</v>
      </c>
      <c r="BU24" s="135">
        <v>3357</v>
      </c>
      <c r="BY24" s="214" t="s">
        <v>1562</v>
      </c>
      <c r="BZ24" s="214">
        <v>8</v>
      </c>
      <c r="CA24" s="214"/>
      <c r="CB24" s="214"/>
      <c r="CC24" s="214"/>
      <c r="CD24" s="214"/>
      <c r="CE24" s="214"/>
      <c r="CF24" s="214"/>
      <c r="CG24" s="214"/>
      <c r="CH24" s="214"/>
      <c r="CI24" s="181" t="s">
        <v>1200</v>
      </c>
      <c r="CJ24" s="209" t="s">
        <v>1633</v>
      </c>
      <c r="CK24" s="215" t="s">
        <v>1244</v>
      </c>
      <c r="CL24" s="230" t="s">
        <v>1233</v>
      </c>
      <c r="CM24" s="231">
        <v>806</v>
      </c>
      <c r="CN24" s="232">
        <v>4491</v>
      </c>
      <c r="CO24" s="232">
        <f t="shared" si="8"/>
        <v>86.365384615384613</v>
      </c>
      <c r="CP24" s="232">
        <v>1281</v>
      </c>
      <c r="CQ24" s="232">
        <f t="shared" si="9"/>
        <v>24.634615384615383</v>
      </c>
      <c r="CR24" s="232">
        <v>22788</v>
      </c>
      <c r="CS24" s="232">
        <f t="shared" si="10"/>
        <v>438.23076923076923</v>
      </c>
      <c r="CT24" s="232">
        <v>16170</v>
      </c>
      <c r="CU24" s="232">
        <f t="shared" si="11"/>
        <v>310.96153846153845</v>
      </c>
      <c r="CV24" s="232">
        <v>3357</v>
      </c>
      <c r="CW24" s="232">
        <v>48087</v>
      </c>
      <c r="CX24" s="233">
        <v>44730</v>
      </c>
      <c r="DP24" s="142" t="s">
        <v>1759</v>
      </c>
      <c r="DQ24" s="142" t="s">
        <v>1755</v>
      </c>
      <c r="DR24" s="142" t="s">
        <v>2667</v>
      </c>
      <c r="DS24" s="142" t="s">
        <v>2689</v>
      </c>
      <c r="DU24" s="181" t="s">
        <v>1202</v>
      </c>
      <c r="DV24" s="182" t="s">
        <v>1278</v>
      </c>
      <c r="DW24" s="135" t="s">
        <v>1631</v>
      </c>
      <c r="DX24" s="200">
        <f t="shared" si="13"/>
        <v>35.625</v>
      </c>
      <c r="DY24" s="254">
        <v>28.5</v>
      </c>
      <c r="EO24" s="135" t="s">
        <v>2811</v>
      </c>
      <c r="EP24" s="135" t="s">
        <v>2772</v>
      </c>
      <c r="ET24" s="135" t="s">
        <v>2846</v>
      </c>
      <c r="EU24" s="135" t="s">
        <v>2936</v>
      </c>
      <c r="EY24" s="135" t="s">
        <v>2695</v>
      </c>
      <c r="EZ24" s="135" t="s">
        <v>2868</v>
      </c>
      <c r="FA24" s="135" t="s">
        <v>3360</v>
      </c>
      <c r="FB24" s="135" t="str">
        <f t="shared" si="7"/>
        <v>5lvgOpname</v>
      </c>
      <c r="FC24" s="156">
        <f>VLOOKUP(EZ24,'Tarieven ZZP'!$D$6:$J$134,7,FALSE)</f>
        <v>367.8</v>
      </c>
      <c r="FD24" s="156">
        <f t="shared" si="1"/>
        <v>2574.6</v>
      </c>
      <c r="FI24" s="181" t="s">
        <v>1209</v>
      </c>
      <c r="FJ24" s="135">
        <v>1</v>
      </c>
    </row>
    <row r="25" spans="1:166" ht="21" customHeight="1" thickBot="1" x14ac:dyDescent="0.45">
      <c r="A25" s="302"/>
      <c r="B25" s="285"/>
      <c r="C25" s="321">
        <f t="shared" si="14"/>
        <v>0</v>
      </c>
      <c r="D25" s="285"/>
      <c r="E25" s="285"/>
      <c r="F25" s="286"/>
      <c r="G25" s="287">
        <f t="shared" si="15"/>
        <v>0</v>
      </c>
      <c r="H25" s="363">
        <f t="shared" si="18"/>
        <v>0</v>
      </c>
      <c r="I25" s="364">
        <f t="shared" si="16"/>
        <v>0</v>
      </c>
      <c r="J25" s="305"/>
      <c r="K25" s="359">
        <f t="shared" si="17"/>
        <v>0</v>
      </c>
      <c r="L25" s="307"/>
      <c r="M25" s="320" t="s">
        <v>1698</v>
      </c>
      <c r="N25" s="320"/>
      <c r="O25" s="320"/>
      <c r="P25" s="320"/>
      <c r="Q25" s="325"/>
      <c r="R25" s="326"/>
      <c r="S25" s="302"/>
      <c r="T25" s="156">
        <f ca="1">IF(I33&lt;M15,I33,M15)</f>
        <v>0</v>
      </c>
      <c r="V25" s="136" t="s">
        <v>1603</v>
      </c>
      <c r="W25" s="135" t="s">
        <v>1598</v>
      </c>
      <c r="X25" s="389" t="s">
        <v>3464</v>
      </c>
      <c r="Z25" s="389" t="s">
        <v>1810</v>
      </c>
      <c r="AB25" s="140">
        <v>0.98499999999999999</v>
      </c>
      <c r="AC25" s="150"/>
      <c r="AD25" s="153"/>
      <c r="AE25" s="142" t="s">
        <v>1756</v>
      </c>
      <c r="AF25" s="143"/>
      <c r="AG25" s="150"/>
      <c r="AH25" s="150"/>
      <c r="AI25" s="150"/>
      <c r="AJ25" s="135" t="s">
        <v>2821</v>
      </c>
      <c r="AK25" s="135" t="s">
        <v>2781</v>
      </c>
      <c r="AL25" s="151"/>
      <c r="AM25" s="151"/>
      <c r="AN25" s="170">
        <v>17</v>
      </c>
      <c r="AO25" s="170" t="s">
        <v>1552</v>
      </c>
      <c r="AP25" s="170">
        <v>9</v>
      </c>
      <c r="AQ25" s="170" t="s">
        <v>1563</v>
      </c>
      <c r="AR25" s="170"/>
      <c r="AS25" s="170"/>
      <c r="AT25" s="170"/>
      <c r="AU25" s="170"/>
      <c r="AV25" s="170"/>
      <c r="AW25" s="170"/>
      <c r="AX25" s="165" t="s">
        <v>1655</v>
      </c>
      <c r="AY25" s="135" t="s">
        <v>486</v>
      </c>
      <c r="AZ25" s="206">
        <f>VLOOKUP(AY25,'Tarieven ZIN prestaties'!$B$1:$D$84,2,FALSE)</f>
        <v>134.36000000000001</v>
      </c>
      <c r="BA25" s="207"/>
      <c r="BD25" s="181" t="s">
        <v>1201</v>
      </c>
      <c r="BE25" s="209">
        <v>826</v>
      </c>
      <c r="BF25" s="182" t="s">
        <v>1278</v>
      </c>
      <c r="BG25" s="210">
        <f>VLOOKUP(BD25,'PGB tarieven'!$A$7:$M$53,13,FALSE)</f>
        <v>55011</v>
      </c>
      <c r="BH25" s="211">
        <f t="shared" si="5"/>
        <v>1055.0054794520547</v>
      </c>
      <c r="BI25" s="193"/>
      <c r="BJ25" s="193"/>
      <c r="BK25" s="212" t="s">
        <v>1238</v>
      </c>
      <c r="BL25" s="175">
        <f>VLOOKUP(BK25,'Ruimte behandeling basis MPT'!$A$2:$H$41,8,FALSE)</f>
        <v>0</v>
      </c>
      <c r="BM25" s="181" t="s">
        <v>1223</v>
      </c>
      <c r="BN25" s="209">
        <v>759</v>
      </c>
      <c r="BO25" s="182" t="s">
        <v>1244</v>
      </c>
      <c r="BP25" s="253">
        <f>VLOOKUP(BM25,'PGB tarieven'!$A$7:$M$53,13,FALSE)</f>
        <v>83631</v>
      </c>
      <c r="BQ25" s="211">
        <f t="shared" si="12"/>
        <v>1603.882191780822</v>
      </c>
      <c r="BR25" s="135">
        <v>4</v>
      </c>
      <c r="BS25" s="135" t="s">
        <v>1814</v>
      </c>
      <c r="BU25" s="135">
        <f>BU24/365</f>
        <v>9.1972602739726028</v>
      </c>
      <c r="BY25" s="214" t="s">
        <v>1563</v>
      </c>
      <c r="BZ25" s="214">
        <v>9</v>
      </c>
      <c r="CA25" s="214"/>
      <c r="CB25" s="214" t="s">
        <v>1618</v>
      </c>
      <c r="CC25" s="214"/>
      <c r="CD25" s="214"/>
      <c r="CE25" s="214"/>
      <c r="CF25" s="214"/>
      <c r="CG25" s="214"/>
      <c r="CH25" s="214"/>
      <c r="CI25" s="181" t="s">
        <v>1201</v>
      </c>
      <c r="CJ25" s="209" t="s">
        <v>1633</v>
      </c>
      <c r="CK25" s="215" t="s">
        <v>1244</v>
      </c>
      <c r="CL25" s="235" t="s">
        <v>1234</v>
      </c>
      <c r="CM25" s="236">
        <v>808</v>
      </c>
      <c r="CN25" s="237">
        <v>12711</v>
      </c>
      <c r="CO25" s="232">
        <f t="shared" si="8"/>
        <v>244.44230769230768</v>
      </c>
      <c r="CP25" s="237">
        <v>3845</v>
      </c>
      <c r="CQ25" s="232">
        <f t="shared" si="9"/>
        <v>73.942307692307693</v>
      </c>
      <c r="CR25" s="237">
        <v>22788</v>
      </c>
      <c r="CS25" s="232">
        <f t="shared" si="10"/>
        <v>438.23076923076923</v>
      </c>
      <c r="CT25" s="237">
        <v>18622</v>
      </c>
      <c r="CU25" s="232">
        <f t="shared" si="11"/>
        <v>358.11538461538464</v>
      </c>
      <c r="CV25" s="237">
        <v>3357</v>
      </c>
      <c r="CW25" s="237">
        <v>61323</v>
      </c>
      <c r="CX25" s="233">
        <v>57966</v>
      </c>
      <c r="DP25" s="142" t="s">
        <v>1761</v>
      </c>
      <c r="DQ25" s="142" t="s">
        <v>1756</v>
      </c>
      <c r="DR25" s="142" t="s">
        <v>2668</v>
      </c>
      <c r="DS25" s="142" t="s">
        <v>2690</v>
      </c>
      <c r="DU25" s="181" t="s">
        <v>1203</v>
      </c>
      <c r="DV25" s="182" t="s">
        <v>1278</v>
      </c>
      <c r="DW25" s="135" t="s">
        <v>1631</v>
      </c>
      <c r="DX25" s="200">
        <f t="shared" si="13"/>
        <v>35.625</v>
      </c>
      <c r="DY25" s="254">
        <v>28.5</v>
      </c>
      <c r="EO25" s="135" t="s">
        <v>2819</v>
      </c>
      <c r="ET25" s="135" t="s">
        <v>2852</v>
      </c>
      <c r="EU25" s="135" t="s">
        <v>2942</v>
      </c>
      <c r="EY25" s="135" t="s">
        <v>2673</v>
      </c>
      <c r="EZ25" s="135" t="s">
        <v>2869</v>
      </c>
      <c r="FA25" s="135" t="s">
        <v>3360</v>
      </c>
      <c r="FB25" s="135" t="str">
        <f t="shared" si="7"/>
        <v>1sglvgOpname</v>
      </c>
      <c r="FC25" s="156">
        <f>VLOOKUP(EZ25,'Tarieven ZZP'!$D$6:$J$134,7,FALSE)</f>
        <v>421.16</v>
      </c>
      <c r="FD25" s="156">
        <f t="shared" si="1"/>
        <v>2948.1200000000003</v>
      </c>
      <c r="FI25" s="181" t="s">
        <v>1210</v>
      </c>
      <c r="FJ25" s="135">
        <v>1</v>
      </c>
    </row>
    <row r="26" spans="1:166" ht="21" customHeight="1" thickBot="1" x14ac:dyDescent="0.45">
      <c r="A26" s="302"/>
      <c r="B26" s="285"/>
      <c r="C26" s="321">
        <f t="shared" si="14"/>
        <v>0</v>
      </c>
      <c r="D26" s="285"/>
      <c r="E26" s="285"/>
      <c r="F26" s="286"/>
      <c r="G26" s="287">
        <f t="shared" si="15"/>
        <v>0</v>
      </c>
      <c r="H26" s="363">
        <f t="shared" si="18"/>
        <v>0</v>
      </c>
      <c r="I26" s="364">
        <f t="shared" si="16"/>
        <v>0</v>
      </c>
      <c r="J26" s="305"/>
      <c r="K26" s="359">
        <f t="shared" si="17"/>
        <v>0</v>
      </c>
      <c r="L26" s="342" t="s">
        <v>1430</v>
      </c>
      <c r="M26" s="305"/>
      <c r="N26" s="305"/>
      <c r="O26" s="305"/>
      <c r="P26" s="302"/>
      <c r="Q26" s="302"/>
      <c r="R26" s="302"/>
      <c r="S26" s="302"/>
      <c r="V26" s="135" t="s">
        <v>1598</v>
      </c>
      <c r="X26" s="389" t="s">
        <v>3464</v>
      </c>
      <c r="Z26" s="389" t="s">
        <v>1811</v>
      </c>
      <c r="AB26" s="140">
        <v>0.99</v>
      </c>
      <c r="AC26" s="150"/>
      <c r="AD26" s="150"/>
      <c r="AE26" s="142" t="s">
        <v>1757</v>
      </c>
      <c r="AF26" s="143"/>
      <c r="AG26" s="150"/>
      <c r="AH26" s="150"/>
      <c r="AI26" s="150"/>
      <c r="AJ26" s="135" t="s">
        <v>2822</v>
      </c>
      <c r="AK26" s="135" t="s">
        <v>2782</v>
      </c>
      <c r="AL26" s="151"/>
      <c r="AM26" s="151"/>
      <c r="AN26" s="170">
        <v>18</v>
      </c>
      <c r="AO26" s="170" t="s">
        <v>1552</v>
      </c>
      <c r="AP26" s="170"/>
      <c r="AQ26" s="170"/>
      <c r="AR26" s="170"/>
      <c r="AS26" s="170"/>
      <c r="AT26" s="170"/>
      <c r="AU26" s="170"/>
      <c r="AV26" s="170"/>
      <c r="AW26" s="170"/>
      <c r="AX26" s="165" t="s">
        <v>1656</v>
      </c>
      <c r="AY26" s="135" t="s">
        <v>522</v>
      </c>
      <c r="AZ26" s="206">
        <f>VLOOKUP(AY26,'Tarieven ZIN prestaties'!$B$1:$D$84,2,FALSE)</f>
        <v>91.29</v>
      </c>
      <c r="BA26" s="207"/>
      <c r="BD26" s="181" t="s">
        <v>1202</v>
      </c>
      <c r="BE26" s="209">
        <v>828</v>
      </c>
      <c r="BF26" s="182" t="s">
        <v>1278</v>
      </c>
      <c r="BG26" s="210">
        <f>VLOOKUP(BD26,'PGB tarieven'!$A$7:$M$53,13,FALSE)</f>
        <v>65363</v>
      </c>
      <c r="BH26" s="211">
        <f t="shared" si="5"/>
        <v>1253.5369863013698</v>
      </c>
      <c r="BI26" s="193"/>
      <c r="BJ26" s="193"/>
      <c r="BK26" s="212" t="s">
        <v>1239</v>
      </c>
      <c r="BL26" s="175">
        <f>VLOOKUP(BK26,'Ruimte behandeling basis MPT'!$A$2:$H$41,8,FALSE)</f>
        <v>0</v>
      </c>
      <c r="BM26" s="181" t="s">
        <v>1238</v>
      </c>
      <c r="BN26" s="209">
        <v>780</v>
      </c>
      <c r="BO26" s="182" t="s">
        <v>1244</v>
      </c>
      <c r="BP26" s="253">
        <f>VLOOKUP(BM26,'PGB tarieven'!$A$7:$M$53,13,FALSE)</f>
        <v>29980</v>
      </c>
      <c r="BQ26" s="211">
        <f t="shared" si="12"/>
        <v>574.95890410958896</v>
      </c>
      <c r="BR26" s="135">
        <v>5</v>
      </c>
      <c r="BS26" s="135" t="s">
        <v>1813</v>
      </c>
      <c r="BU26" s="135">
        <f>BU25*7</f>
        <v>64.38082191780822</v>
      </c>
      <c r="BZ26" s="214" t="s">
        <v>1428</v>
      </c>
      <c r="CA26" s="214">
        <f t="shared" ref="CA26:CA31" si="19">IFERROR(VLOOKUP(N28,$BY$8:$BZ$25,2,FALSE),0)</f>
        <v>0</v>
      </c>
      <c r="CB26" s="214">
        <v>123.79</v>
      </c>
      <c r="CC26" s="214" t="s">
        <v>486</v>
      </c>
      <c r="CD26" s="214">
        <f t="shared" ref="CD26:CD31" si="20">CA26*CB26</f>
        <v>0</v>
      </c>
      <c r="CE26" s="214"/>
      <c r="CF26" s="214"/>
      <c r="CG26" s="214"/>
      <c r="CH26" s="214"/>
      <c r="CI26" s="181" t="s">
        <v>1202</v>
      </c>
      <c r="CJ26" s="209" t="s">
        <v>1633</v>
      </c>
      <c r="CK26" s="215" t="s">
        <v>1244</v>
      </c>
      <c r="CL26" s="230" t="s">
        <v>1235</v>
      </c>
      <c r="CM26" s="231">
        <v>810</v>
      </c>
      <c r="CN26" s="232">
        <v>4491</v>
      </c>
      <c r="CO26" s="232">
        <f t="shared" si="8"/>
        <v>86.365384615384613</v>
      </c>
      <c r="CP26" s="231">
        <v>0</v>
      </c>
      <c r="CQ26" s="232">
        <f t="shared" si="9"/>
        <v>0</v>
      </c>
      <c r="CR26" s="232">
        <v>28748</v>
      </c>
      <c r="CS26" s="232">
        <f t="shared" si="10"/>
        <v>552.84615384615381</v>
      </c>
      <c r="CT26" s="232">
        <v>21072</v>
      </c>
      <c r="CU26" s="232">
        <f t="shared" si="11"/>
        <v>405.23076923076923</v>
      </c>
      <c r="CV26" s="232">
        <v>3357</v>
      </c>
      <c r="CW26" s="232">
        <v>57668</v>
      </c>
      <c r="CX26" s="233">
        <v>54311</v>
      </c>
      <c r="DP26" s="142" t="s">
        <v>1762</v>
      </c>
      <c r="DQ26" s="142" t="s">
        <v>1757</v>
      </c>
      <c r="DR26" s="142" t="s">
        <v>2669</v>
      </c>
      <c r="DS26" s="142" t="s">
        <v>2689</v>
      </c>
      <c r="DU26" s="181" t="s">
        <v>1204</v>
      </c>
      <c r="DV26" s="182" t="s">
        <v>1278</v>
      </c>
      <c r="DW26" s="135" t="s">
        <v>1631</v>
      </c>
      <c r="DX26" s="200">
        <f t="shared" si="13"/>
        <v>38.125</v>
      </c>
      <c r="DY26" s="254">
        <v>30.5</v>
      </c>
      <c r="EB26" s="135">
        <v>26</v>
      </c>
      <c r="EC26" s="135">
        <v>32</v>
      </c>
      <c r="ED26" s="135">
        <f>EB26+EC26</f>
        <v>58</v>
      </c>
      <c r="EO26" s="135" t="s">
        <v>2812</v>
      </c>
      <c r="ET26" s="135" t="s">
        <v>2858</v>
      </c>
      <c r="EU26" s="135" t="s">
        <v>2948</v>
      </c>
      <c r="EY26" s="135" t="s">
        <v>2666</v>
      </c>
      <c r="EZ26" s="135" t="s">
        <v>2872</v>
      </c>
      <c r="FA26" s="135" t="s">
        <v>3360</v>
      </c>
      <c r="FB26" s="135" t="str">
        <f t="shared" si="7"/>
        <v>1lgOpname</v>
      </c>
      <c r="FC26" s="156">
        <f>VLOOKUP(EZ26,'Tarieven ZZP'!$D$6:$J$134,7,FALSE)</f>
        <v>171.81</v>
      </c>
      <c r="FD26" s="156">
        <f t="shared" si="1"/>
        <v>1202.67</v>
      </c>
      <c r="FI26" s="181" t="s">
        <v>1211</v>
      </c>
      <c r="FJ26" s="135">
        <v>1</v>
      </c>
    </row>
    <row r="27" spans="1:166" ht="21" customHeight="1" thickBot="1" x14ac:dyDescent="0.4">
      <c r="B27" s="285"/>
      <c r="C27" s="321">
        <f t="shared" si="14"/>
        <v>0</v>
      </c>
      <c r="D27" s="285"/>
      <c r="E27" s="285"/>
      <c r="F27" s="286"/>
      <c r="G27" s="287">
        <f t="shared" si="15"/>
        <v>0</v>
      </c>
      <c r="H27" s="363">
        <f t="shared" si="18"/>
        <v>0</v>
      </c>
      <c r="I27" s="365">
        <f t="shared" si="16"/>
        <v>0</v>
      </c>
      <c r="K27" s="359">
        <f t="shared" si="17"/>
        <v>0</v>
      </c>
      <c r="L27" s="475" t="s">
        <v>3012</v>
      </c>
      <c r="M27" s="476"/>
      <c r="N27" s="387" t="s">
        <v>3325</v>
      </c>
      <c r="O27" s="387" t="s">
        <v>3507</v>
      </c>
      <c r="P27" s="396" t="str">
        <f ca="1">IF(SUM(N28:N38)&lt;101%,"Ja","Nee")</f>
        <v>Ja</v>
      </c>
      <c r="Q27" s="388"/>
      <c r="R27" s="388"/>
      <c r="S27" s="302"/>
      <c r="T27" s="156">
        <f>M10</f>
        <v>0</v>
      </c>
      <c r="U27" s="261"/>
      <c r="X27" s="389" t="s">
        <v>3508</v>
      </c>
      <c r="Z27" s="392" t="s">
        <v>3510</v>
      </c>
      <c r="AB27" s="140">
        <v>0.995</v>
      </c>
      <c r="AC27" s="150"/>
      <c r="AD27" s="150"/>
      <c r="AE27" s="142" t="s">
        <v>1758</v>
      </c>
      <c r="AF27" s="143"/>
      <c r="AG27" s="150"/>
      <c r="AH27" s="150"/>
      <c r="AI27" s="150"/>
      <c r="AJ27" s="135" t="s">
        <v>2823</v>
      </c>
      <c r="AK27" s="135" t="s">
        <v>2783</v>
      </c>
      <c r="AL27" s="151"/>
      <c r="AM27" s="151"/>
      <c r="AN27" s="170">
        <v>19</v>
      </c>
      <c r="AO27" s="170" t="s">
        <v>1552</v>
      </c>
      <c r="AP27" s="170"/>
      <c r="AQ27" s="170"/>
      <c r="AR27" s="170"/>
      <c r="AS27" s="170"/>
      <c r="AT27" s="170"/>
      <c r="AU27" s="170"/>
      <c r="AV27" s="170"/>
      <c r="AW27" s="170"/>
      <c r="AX27" s="165" t="s">
        <v>1657</v>
      </c>
      <c r="AY27" s="135" t="s">
        <v>562</v>
      </c>
      <c r="AZ27" s="206">
        <f>VLOOKUP(AY27,'Tarieven ZIN prestaties'!$B$1:$D$84,2,FALSE)</f>
        <v>116.36</v>
      </c>
      <c r="BA27" s="207"/>
      <c r="BD27" s="181" t="s">
        <v>1203</v>
      </c>
      <c r="BE27" s="209">
        <v>830</v>
      </c>
      <c r="BF27" s="182" t="s">
        <v>1278</v>
      </c>
      <c r="BG27" s="210">
        <f>VLOOKUP(BD27,'PGB tarieven'!$A$7:$M$53,13,FALSE)</f>
        <v>71788</v>
      </c>
      <c r="BH27" s="211">
        <f t="shared" si="5"/>
        <v>1376.7561643835616</v>
      </c>
      <c r="BI27" s="193"/>
      <c r="BJ27" s="193"/>
      <c r="BK27" s="212" t="s">
        <v>1240</v>
      </c>
      <c r="BL27" s="175">
        <f>VLOOKUP(BK27,'Ruimte behandeling basis MPT'!$A$2:$H$41,8,FALSE)</f>
        <v>0</v>
      </c>
      <c r="BM27" s="181" t="s">
        <v>1239</v>
      </c>
      <c r="BN27" s="209">
        <v>781</v>
      </c>
      <c r="BO27" s="182" t="s">
        <v>1244</v>
      </c>
      <c r="BP27" s="253">
        <f>VLOOKUP(BM27,'PGB tarieven'!$A$7:$M$53,13,FALSE)</f>
        <v>42953</v>
      </c>
      <c r="BQ27" s="211">
        <f t="shared" si="12"/>
        <v>823.75616438356167</v>
      </c>
      <c r="BR27" s="135">
        <v>6</v>
      </c>
      <c r="BS27" s="135" t="s">
        <v>1814</v>
      </c>
      <c r="BZ27" s="214" t="s">
        <v>1297</v>
      </c>
      <c r="CA27" s="214">
        <f t="shared" si="19"/>
        <v>0</v>
      </c>
      <c r="CB27" s="214">
        <v>14.47</v>
      </c>
      <c r="CC27" s="214" t="s">
        <v>401</v>
      </c>
      <c r="CD27" s="214">
        <f t="shared" si="20"/>
        <v>0</v>
      </c>
      <c r="CE27" s="214"/>
      <c r="CF27" s="214"/>
      <c r="CG27" s="214"/>
      <c r="CH27" s="214"/>
      <c r="CI27" s="181" t="s">
        <v>1203</v>
      </c>
      <c r="CJ27" s="209" t="s">
        <v>1633</v>
      </c>
      <c r="CK27" s="215" t="s">
        <v>1244</v>
      </c>
      <c r="CL27" s="235" t="s">
        <v>1236</v>
      </c>
      <c r="CM27" s="236">
        <v>812</v>
      </c>
      <c r="CN27" s="237">
        <v>12711</v>
      </c>
      <c r="CO27" s="232">
        <f t="shared" si="8"/>
        <v>244.44230769230768</v>
      </c>
      <c r="CP27" s="237">
        <v>1281</v>
      </c>
      <c r="CQ27" s="232">
        <f t="shared" si="9"/>
        <v>24.634615384615383</v>
      </c>
      <c r="CR27" s="237">
        <v>35682</v>
      </c>
      <c r="CS27" s="232">
        <f t="shared" si="10"/>
        <v>686.19230769230774</v>
      </c>
      <c r="CT27" s="237">
        <v>23523</v>
      </c>
      <c r="CU27" s="232">
        <f t="shared" si="11"/>
        <v>452.36538461538464</v>
      </c>
      <c r="CV27" s="237">
        <v>3357</v>
      </c>
      <c r="CW27" s="237">
        <v>76554</v>
      </c>
      <c r="CX27" s="233">
        <v>73197</v>
      </c>
      <c r="DP27" s="142" t="s">
        <v>1764</v>
      </c>
      <c r="DQ27" s="142" t="s">
        <v>1758</v>
      </c>
      <c r="DR27" s="142" t="s">
        <v>2670</v>
      </c>
      <c r="DS27" s="142" t="s">
        <v>2690</v>
      </c>
      <c r="DU27" s="181" t="s">
        <v>1209</v>
      </c>
      <c r="DV27" s="182" t="s">
        <v>1278</v>
      </c>
      <c r="DW27" s="135" t="s">
        <v>1598</v>
      </c>
      <c r="DX27" s="200">
        <f t="shared" si="13"/>
        <v>15.625</v>
      </c>
      <c r="DY27" s="135">
        <v>12.5</v>
      </c>
      <c r="ED27" s="135">
        <f>ED26/2</f>
        <v>29</v>
      </c>
      <c r="EO27" s="135" t="s">
        <v>2820</v>
      </c>
      <c r="ET27" s="135" t="s">
        <v>2841</v>
      </c>
      <c r="EU27" s="135" t="s">
        <v>2777</v>
      </c>
      <c r="EY27" s="135" t="s">
        <v>2667</v>
      </c>
      <c r="EZ27" s="135" t="s">
        <v>2873</v>
      </c>
      <c r="FA27" s="135" t="s">
        <v>3360</v>
      </c>
      <c r="FB27" s="135" t="str">
        <f t="shared" si="7"/>
        <v>2lgOpname</v>
      </c>
      <c r="FC27" s="156">
        <f>VLOOKUP(EZ27,'Tarieven ZZP'!$D$6:$J$134,7,FALSE)</f>
        <v>199.01</v>
      </c>
      <c r="FD27" s="156">
        <f t="shared" si="1"/>
        <v>1393.07</v>
      </c>
      <c r="FI27" s="181" t="s">
        <v>1212</v>
      </c>
      <c r="FJ27" s="135">
        <v>1</v>
      </c>
    </row>
    <row r="28" spans="1:166" ht="21" customHeight="1" thickBot="1" x14ac:dyDescent="0.4">
      <c r="B28" s="285"/>
      <c r="C28" s="321">
        <f t="shared" si="14"/>
        <v>0</v>
      </c>
      <c r="D28" s="285"/>
      <c r="E28" s="285"/>
      <c r="F28" s="286"/>
      <c r="G28" s="287">
        <f t="shared" si="15"/>
        <v>0</v>
      </c>
      <c r="H28" s="363">
        <f>U40</f>
        <v>0</v>
      </c>
      <c r="I28" s="365">
        <f t="shared" si="16"/>
        <v>0</v>
      </c>
      <c r="K28" s="359">
        <f t="shared" si="17"/>
        <v>0</v>
      </c>
      <c r="L28" s="475">
        <f>IFERROR(VLOOKUP(M93,E93:F106,2,0)," ")</f>
        <v>0</v>
      </c>
      <c r="M28" s="476"/>
      <c r="N28" s="288">
        <f t="shared" ref="N28:N38" si="21">IFERROR(SUMIF($E$18:$E$31,L28,$K$18:$K$31),0)</f>
        <v>0</v>
      </c>
      <c r="O28" s="395" t="s">
        <v>3463</v>
      </c>
      <c r="P28" s="461" t="str">
        <f ca="1">IF(B43="restant",X23,"")</f>
        <v/>
      </c>
      <c r="Q28" s="462"/>
      <c r="R28" s="462"/>
      <c r="S28" s="284"/>
      <c r="U28" s="261"/>
      <c r="X28" s="145" t="str">
        <f>IF(Y24="","",1)</f>
        <v/>
      </c>
      <c r="AB28" s="154">
        <v>1</v>
      </c>
      <c r="AC28" s="150"/>
      <c r="AD28" s="150"/>
      <c r="AE28" s="142" t="s">
        <v>1759</v>
      </c>
      <c r="AF28" s="143"/>
      <c r="AG28" s="150"/>
      <c r="AH28" s="150"/>
      <c r="AI28" s="150"/>
      <c r="AJ28" s="135" t="s">
        <v>2824</v>
      </c>
      <c r="AK28" s="135" t="s">
        <v>2784</v>
      </c>
      <c r="AL28" s="151"/>
      <c r="AM28" s="151"/>
      <c r="AN28" s="170">
        <v>20</v>
      </c>
      <c r="AO28" s="170" t="s">
        <v>1553</v>
      </c>
      <c r="AP28" s="170"/>
      <c r="AQ28" s="170"/>
      <c r="AR28" s="170"/>
      <c r="AS28" s="170"/>
      <c r="AT28" s="170"/>
      <c r="AU28" s="170"/>
      <c r="AV28" s="170"/>
      <c r="AW28" s="170"/>
      <c r="AX28" s="165" t="s">
        <v>1658</v>
      </c>
      <c r="AY28" s="135" t="s">
        <v>30</v>
      </c>
      <c r="AZ28" s="206">
        <f>VLOOKUP(AY28,'Tarieven ZIN prestaties'!$B$1:$D$84,2,FALSE)</f>
        <v>61.56</v>
      </c>
      <c r="BA28" s="207"/>
      <c r="BD28" s="181" t="s">
        <v>1204</v>
      </c>
      <c r="BE28" s="209">
        <v>832</v>
      </c>
      <c r="BF28" s="182" t="s">
        <v>1278</v>
      </c>
      <c r="BG28" s="210">
        <f>VLOOKUP(BD28,'PGB tarieven'!$A$7:$M$53,13,FALSE)</f>
        <v>75580</v>
      </c>
      <c r="BH28" s="211">
        <f t="shared" si="5"/>
        <v>1449.4794520547946</v>
      </c>
      <c r="BI28" s="193"/>
      <c r="BJ28" s="193"/>
      <c r="BK28" s="212" t="s">
        <v>1241</v>
      </c>
      <c r="BL28" s="175">
        <f>VLOOKUP(BK28,'Ruimte behandeling basis MPT'!$A$2:$H$41,8,FALSE)</f>
        <v>0</v>
      </c>
      <c r="BM28" s="181" t="s">
        <v>1240</v>
      </c>
      <c r="BN28" s="209">
        <v>782</v>
      </c>
      <c r="BO28" s="182" t="s">
        <v>1244</v>
      </c>
      <c r="BP28" s="253">
        <f>VLOOKUP(BM28,'PGB tarieven'!$A$7:$M$53,13,FALSE)</f>
        <v>51927</v>
      </c>
      <c r="BQ28" s="211">
        <f t="shared" si="12"/>
        <v>995.86027397260273</v>
      </c>
      <c r="BR28" s="135">
        <v>7</v>
      </c>
      <c r="BS28" s="135" t="s">
        <v>1814</v>
      </c>
      <c r="BZ28" s="214" t="s">
        <v>1255</v>
      </c>
      <c r="CA28" s="214">
        <f t="shared" si="19"/>
        <v>0</v>
      </c>
      <c r="CB28" s="214">
        <v>82.37</v>
      </c>
      <c r="CC28" s="214" t="s">
        <v>44</v>
      </c>
      <c r="CD28" s="214">
        <f t="shared" si="20"/>
        <v>0</v>
      </c>
      <c r="CE28" s="214"/>
      <c r="CF28" s="214"/>
      <c r="CG28" s="214"/>
      <c r="CH28" s="214"/>
      <c r="CI28" s="181" t="s">
        <v>1204</v>
      </c>
      <c r="CJ28" s="209" t="s">
        <v>1633</v>
      </c>
      <c r="CK28" s="215" t="s">
        <v>1244</v>
      </c>
      <c r="CL28" s="230" t="s">
        <v>1237</v>
      </c>
      <c r="CM28" s="231">
        <v>814</v>
      </c>
      <c r="CN28" s="232">
        <v>26894</v>
      </c>
      <c r="CO28" s="232">
        <f t="shared" si="8"/>
        <v>517.19230769230774</v>
      </c>
      <c r="CP28" s="232">
        <v>7690</v>
      </c>
      <c r="CQ28" s="232">
        <f t="shared" si="9"/>
        <v>147.88461538461539</v>
      </c>
      <c r="CR28" s="232">
        <v>10907</v>
      </c>
      <c r="CS28" s="232">
        <f t="shared" si="10"/>
        <v>209.75</v>
      </c>
      <c r="CT28" s="232">
        <v>18622</v>
      </c>
      <c r="CU28" s="232">
        <f t="shared" si="11"/>
        <v>358.11538461538464</v>
      </c>
      <c r="CV28" s="232">
        <v>3357</v>
      </c>
      <c r="CW28" s="232">
        <v>67470</v>
      </c>
      <c r="CX28" s="233">
        <v>64113</v>
      </c>
      <c r="DP28" s="142" t="s">
        <v>1765</v>
      </c>
      <c r="DQ28" s="142" t="s">
        <v>1759</v>
      </c>
      <c r="DR28" s="142" t="s">
        <v>2671</v>
      </c>
      <c r="DS28" s="142" t="s">
        <v>2689</v>
      </c>
      <c r="DU28" s="181" t="s">
        <v>1210</v>
      </c>
      <c r="DV28" s="182" t="s">
        <v>1278</v>
      </c>
      <c r="DW28" s="135" t="s">
        <v>1598</v>
      </c>
      <c r="DX28" s="200">
        <f t="shared" si="13"/>
        <v>20.625</v>
      </c>
      <c r="DY28" s="135">
        <v>16.5</v>
      </c>
      <c r="EO28" s="135" t="s">
        <v>2813</v>
      </c>
      <c r="EP28" s="135">
        <f t="shared" ref="EP28:EP38" si="22">IF(OR(B18="verblijfsprestatie",B18="vptprestatie"),1,0)</f>
        <v>0</v>
      </c>
      <c r="ET28" s="135" t="s">
        <v>2847</v>
      </c>
      <c r="EU28" s="135" t="s">
        <v>2937</v>
      </c>
      <c r="EY28" s="135" t="s">
        <v>2668</v>
      </c>
      <c r="EZ28" s="135" t="s">
        <v>2889</v>
      </c>
      <c r="FA28" s="135" t="s">
        <v>3360</v>
      </c>
      <c r="FB28" s="135" t="str">
        <f t="shared" si="7"/>
        <v>3lgOpname</v>
      </c>
      <c r="FC28" s="156">
        <f>VLOOKUP(EZ28,'Tarieven ZZP'!$D$6:$J$134,7,FALSE)</f>
        <v>198.93</v>
      </c>
      <c r="FD28" s="156">
        <f t="shared" si="1"/>
        <v>1392.51</v>
      </c>
      <c r="FI28" s="181" t="s">
        <v>1213</v>
      </c>
      <c r="FJ28" s="135">
        <v>1</v>
      </c>
    </row>
    <row r="29" spans="1:166" ht="21" customHeight="1" thickBot="1" x14ac:dyDescent="0.4">
      <c r="B29" s="285"/>
      <c r="C29" s="321">
        <f t="shared" si="14"/>
        <v>0</v>
      </c>
      <c r="D29" s="285"/>
      <c r="E29" s="285"/>
      <c r="F29" s="286"/>
      <c r="G29" s="287">
        <f t="shared" si="15"/>
        <v>0</v>
      </c>
      <c r="H29" s="363">
        <f>U41</f>
        <v>0</v>
      </c>
      <c r="I29" s="365">
        <f t="shared" si="16"/>
        <v>0</v>
      </c>
      <c r="K29" s="359">
        <f t="shared" si="17"/>
        <v>0</v>
      </c>
      <c r="L29" s="475" t="str">
        <f>IFERROR(VLOOKUP(M94,E94:F107,2,0)," ")</f>
        <v xml:space="preserve"> </v>
      </c>
      <c r="M29" s="476"/>
      <c r="N29" s="288">
        <f t="shared" si="21"/>
        <v>0</v>
      </c>
      <c r="O29" s="395" t="s">
        <v>3470</v>
      </c>
      <c r="P29" s="461" t="str">
        <f ca="1">IF(B43="Restant",Y23,"")</f>
        <v/>
      </c>
      <c r="Q29" s="462"/>
      <c r="R29" s="462"/>
      <c r="S29" s="294"/>
      <c r="U29" s="262">
        <f t="shared" ref="U29:U38" si="23">IF($B18="schoonmaak",$AZ$1,IF($B18="Logeren",X29,$V29))</f>
        <v>0</v>
      </c>
      <c r="V29" s="133">
        <f t="shared" ref="V29:V38" si="24">IFERROR(VLOOKUP(LEFT(D18,4),$AY$7:$AZ$584,2,FALSE)*$H$1+IF($B18="Logeren",VLOOKUP(LEFT(D18,5),$AY$7:$BA$602,3,FALSE),0),0)</f>
        <v>0</v>
      </c>
      <c r="W29" s="142">
        <f t="shared" ref="W29:W38" si="25">IFERROR(VLOOKUP(D18,$AX$100:$BA$105,3),0)</f>
        <v>0</v>
      </c>
      <c r="X29" s="135">
        <f t="shared" ref="X29:X43" si="26">W29*$H$1</f>
        <v>0</v>
      </c>
      <c r="AB29" s="135" t="e">
        <f>VLOOKUP($D24,$A$62:$H$170,5,FALSE)</f>
        <v>#N/A</v>
      </c>
      <c r="AC29" s="150"/>
      <c r="AD29" s="150"/>
      <c r="AE29" s="142" t="s">
        <v>1760</v>
      </c>
      <c r="AF29" s="143"/>
      <c r="AG29" s="150"/>
      <c r="AH29" s="150"/>
      <c r="AI29" s="150"/>
      <c r="AJ29" s="135" t="s">
        <v>2825</v>
      </c>
      <c r="AK29" s="135" t="s">
        <v>2785</v>
      </c>
      <c r="AL29" s="151"/>
      <c r="AM29" s="151"/>
      <c r="AN29" s="170">
        <v>21</v>
      </c>
      <c r="AO29" s="170" t="s">
        <v>1553</v>
      </c>
      <c r="AP29" s="170"/>
      <c r="AQ29" s="170"/>
      <c r="AR29" s="170"/>
      <c r="AS29" s="170"/>
      <c r="AT29" s="170"/>
      <c r="AU29" s="170"/>
      <c r="AV29" s="170"/>
      <c r="AW29" s="170"/>
      <c r="AX29" s="165" t="s">
        <v>1738</v>
      </c>
      <c r="AY29" s="135" t="s">
        <v>425</v>
      </c>
      <c r="AZ29" s="206">
        <f>VLOOKUP(AY29,'Tarieven ZIN prestaties'!$B$1:$D$84,2,FALSE)</f>
        <v>29.57</v>
      </c>
      <c r="BA29" s="207"/>
      <c r="BD29" s="181" t="s">
        <v>1209</v>
      </c>
      <c r="BE29" s="209">
        <v>840</v>
      </c>
      <c r="BF29" s="182" t="s">
        <v>1278</v>
      </c>
      <c r="BG29" s="210">
        <f>VLOOKUP(BD29,'PGB tarieven'!$A$7:$M$53,13,FALSE)</f>
        <v>38133</v>
      </c>
      <c r="BH29" s="211">
        <f t="shared" si="5"/>
        <v>731.317808219178</v>
      </c>
      <c r="BI29" s="193"/>
      <c r="BJ29" s="193"/>
      <c r="BK29" s="212" t="s">
        <v>1242</v>
      </c>
      <c r="BL29" s="175">
        <f>VLOOKUP(BK29,'Ruimte behandeling basis MPT'!$A$2:$H$41,8,FALSE)</f>
        <v>0</v>
      </c>
      <c r="BM29" s="181" t="s">
        <v>1241</v>
      </c>
      <c r="BN29" s="209">
        <v>783</v>
      </c>
      <c r="BO29" s="182" t="s">
        <v>1244</v>
      </c>
      <c r="BP29" s="253">
        <f>VLOOKUP(BM29,'PGB tarieven'!$A$7:$M$53,13,FALSE)</f>
        <v>67368</v>
      </c>
      <c r="BQ29" s="211">
        <f t="shared" si="12"/>
        <v>1291.9890410958906</v>
      </c>
      <c r="BR29" s="135">
        <v>8</v>
      </c>
      <c r="BS29" s="135" t="s">
        <v>1813</v>
      </c>
      <c r="BZ29" s="214" t="s">
        <v>1253</v>
      </c>
      <c r="CA29" s="214">
        <f t="shared" si="19"/>
        <v>0</v>
      </c>
      <c r="CB29" s="214">
        <v>81.48</v>
      </c>
      <c r="CC29" s="214" t="s">
        <v>20</v>
      </c>
      <c r="CD29" s="214">
        <f t="shared" si="20"/>
        <v>0</v>
      </c>
      <c r="CE29" s="214"/>
      <c r="CF29" s="214"/>
      <c r="CG29" s="214"/>
      <c r="CH29" s="214"/>
      <c r="CI29" s="181" t="s">
        <v>1209</v>
      </c>
      <c r="CJ29" s="209" t="s">
        <v>1633</v>
      </c>
      <c r="CK29" s="215" t="s">
        <v>1244</v>
      </c>
      <c r="CL29" s="235" t="s">
        <v>1198</v>
      </c>
      <c r="CM29" s="236">
        <v>820</v>
      </c>
      <c r="CN29" s="237">
        <v>4491</v>
      </c>
      <c r="CO29" s="232">
        <f t="shared" si="8"/>
        <v>86.365384615384613</v>
      </c>
      <c r="CP29" s="237">
        <v>1281</v>
      </c>
      <c r="CQ29" s="232">
        <f t="shared" si="9"/>
        <v>24.634615384615383</v>
      </c>
      <c r="CR29" s="237">
        <v>16866</v>
      </c>
      <c r="CS29" s="232">
        <f t="shared" si="10"/>
        <v>324.34615384615387</v>
      </c>
      <c r="CT29" s="237">
        <v>16170</v>
      </c>
      <c r="CU29" s="232">
        <f t="shared" si="11"/>
        <v>310.96153846153845</v>
      </c>
      <c r="CV29" s="237">
        <v>3357</v>
      </c>
      <c r="CW29" s="237">
        <v>42165</v>
      </c>
      <c r="CX29" s="233">
        <v>38808</v>
      </c>
      <c r="DP29" s="142" t="s">
        <v>1767</v>
      </c>
      <c r="DQ29" s="142" t="s">
        <v>1760</v>
      </c>
      <c r="DR29" s="142" t="s">
        <v>2672</v>
      </c>
      <c r="DS29" s="142" t="s">
        <v>2688</v>
      </c>
      <c r="DU29" s="181" t="s">
        <v>1211</v>
      </c>
      <c r="DV29" s="182" t="s">
        <v>1278</v>
      </c>
      <c r="DW29" s="135" t="s">
        <v>1598</v>
      </c>
      <c r="DX29" s="200">
        <f t="shared" si="13"/>
        <v>26.25</v>
      </c>
      <c r="DY29" s="135">
        <v>21</v>
      </c>
      <c r="EO29" s="135" t="s">
        <v>2821</v>
      </c>
      <c r="EP29" s="135">
        <f t="shared" si="22"/>
        <v>0</v>
      </c>
      <c r="ET29" s="135" t="s">
        <v>2853</v>
      </c>
      <c r="EU29" s="135" t="s">
        <v>2943</v>
      </c>
      <c r="EY29" s="135" t="s">
        <v>2669</v>
      </c>
      <c r="EZ29" s="135" t="s">
        <v>2890</v>
      </c>
      <c r="FA29" s="135" t="s">
        <v>3360</v>
      </c>
      <c r="FB29" s="135" t="str">
        <f t="shared" si="7"/>
        <v>4lgOpname</v>
      </c>
      <c r="FC29" s="156">
        <f>VLOOKUP(EZ29,'Tarieven ZZP'!$D$6:$J$134,7,FALSE)</f>
        <v>255</v>
      </c>
      <c r="FD29" s="156">
        <f t="shared" si="1"/>
        <v>1785</v>
      </c>
      <c r="FI29" s="181" t="s">
        <v>1205</v>
      </c>
      <c r="FJ29" s="135">
        <v>1</v>
      </c>
    </row>
    <row r="30" spans="1:166" ht="19.5" customHeight="1" thickBot="1" x14ac:dyDescent="0.4">
      <c r="B30" s="285"/>
      <c r="C30" s="321">
        <f t="shared" si="14"/>
        <v>0</v>
      </c>
      <c r="D30" s="285"/>
      <c r="E30" s="285"/>
      <c r="F30" s="286"/>
      <c r="G30" s="287">
        <f t="shared" si="15"/>
        <v>0</v>
      </c>
      <c r="H30" s="363">
        <f>U42</f>
        <v>0</v>
      </c>
      <c r="I30" s="365">
        <f t="shared" si="16"/>
        <v>0</v>
      </c>
      <c r="K30" s="359">
        <f t="shared" si="17"/>
        <v>0</v>
      </c>
      <c r="L30" s="475" t="str">
        <f>IFERROR(VLOOKUP(M95,E95:F108,2,0)," ")</f>
        <v xml:space="preserve"> </v>
      </c>
      <c r="M30" s="476"/>
      <c r="N30" s="288">
        <f t="shared" si="21"/>
        <v>0</v>
      </c>
      <c r="O30" s="395" t="s">
        <v>1811</v>
      </c>
      <c r="P30" s="461" t="str">
        <f ca="1">IF(AND(P28="",P29="",P27="Nee",X28=""),Z26,IF(AND(P28="",P29="",P27="Nee",X28=1),Y24,""))</f>
        <v/>
      </c>
      <c r="Q30" s="462"/>
      <c r="R30" s="462"/>
      <c r="S30" s="294"/>
      <c r="U30" s="262">
        <f t="shared" si="23"/>
        <v>0</v>
      </c>
      <c r="V30" s="133">
        <f t="shared" si="24"/>
        <v>0</v>
      </c>
      <c r="W30" s="142">
        <f t="shared" si="25"/>
        <v>0</v>
      </c>
      <c r="X30" s="135">
        <f t="shared" si="26"/>
        <v>0</v>
      </c>
      <c r="AC30" s="150"/>
      <c r="AD30" s="150"/>
      <c r="AE30" s="142" t="s">
        <v>1761</v>
      </c>
      <c r="AF30" s="143"/>
      <c r="AG30" s="150"/>
      <c r="AH30" s="150"/>
      <c r="AI30" s="150"/>
      <c r="AJ30" s="135" t="s">
        <v>2826</v>
      </c>
      <c r="AK30" s="135" t="s">
        <v>2786</v>
      </c>
      <c r="AL30" s="151"/>
      <c r="AM30" s="151"/>
      <c r="AN30" s="170">
        <v>22</v>
      </c>
      <c r="AO30" s="170" t="s">
        <v>1553</v>
      </c>
      <c r="AP30" s="170"/>
      <c r="AQ30" s="170"/>
      <c r="AR30" s="170"/>
      <c r="AS30" s="170"/>
      <c r="AT30" s="170"/>
      <c r="AU30" s="170"/>
      <c r="AV30" s="170"/>
      <c r="AW30" s="170"/>
      <c r="AX30" s="165" t="s">
        <v>1670</v>
      </c>
      <c r="AY30" s="135" t="s">
        <v>395</v>
      </c>
      <c r="AZ30" s="206">
        <f>VLOOKUP(AY30,'Tarieven ZIN prestaties'!$B$1:$D$84,2,FALSE)</f>
        <v>127.83</v>
      </c>
      <c r="BA30" s="207"/>
      <c r="BD30" s="181" t="s">
        <v>1210</v>
      </c>
      <c r="BE30" s="209">
        <v>842</v>
      </c>
      <c r="BF30" s="182" t="s">
        <v>1278</v>
      </c>
      <c r="BG30" s="210">
        <f>VLOOKUP(BD30,'PGB tarieven'!$A$7:$M$53,13,FALSE)</f>
        <v>48431</v>
      </c>
      <c r="BH30" s="211">
        <f t="shared" si="5"/>
        <v>928.81369863013697</v>
      </c>
      <c r="BI30" s="193"/>
      <c r="BJ30" s="193"/>
      <c r="BK30" s="212" t="s">
        <v>1243</v>
      </c>
      <c r="BL30" s="175">
        <f>VLOOKUP(BK30,'Ruimte behandeling basis MPT'!$A$2:$H$41,8,FALSE)</f>
        <v>0</v>
      </c>
      <c r="BM30" s="181" t="s">
        <v>1242</v>
      </c>
      <c r="BN30" s="209">
        <v>784</v>
      </c>
      <c r="BO30" s="182" t="s">
        <v>1244</v>
      </c>
      <c r="BP30" s="253">
        <f>VLOOKUP(BM30,'PGB tarieven'!$A$7:$M$53,13,FALSE)</f>
        <v>67368</v>
      </c>
      <c r="BQ30" s="211">
        <f t="shared" si="12"/>
        <v>1291.9890410958906</v>
      </c>
      <c r="BR30" s="135">
        <v>0</v>
      </c>
      <c r="BS30" s="135" t="s">
        <v>1814</v>
      </c>
      <c r="BZ30" s="214" t="s">
        <v>1298</v>
      </c>
      <c r="CA30" s="214">
        <f t="shared" si="19"/>
        <v>0</v>
      </c>
      <c r="CB30" s="214">
        <v>147.47</v>
      </c>
      <c r="CC30" s="214" t="s">
        <v>401</v>
      </c>
      <c r="CD30" s="214">
        <f t="shared" si="20"/>
        <v>0</v>
      </c>
      <c r="CE30" s="214"/>
      <c r="CF30" s="214"/>
      <c r="CG30" s="214"/>
      <c r="CH30" s="214"/>
      <c r="CI30" s="181" t="s">
        <v>1210</v>
      </c>
      <c r="CJ30" s="209" t="s">
        <v>1633</v>
      </c>
      <c r="CK30" s="215" t="s">
        <v>1244</v>
      </c>
      <c r="CL30" s="230" t="s">
        <v>1199</v>
      </c>
      <c r="CM30" s="231">
        <v>822</v>
      </c>
      <c r="CN30" s="232">
        <v>12711</v>
      </c>
      <c r="CO30" s="232">
        <f t="shared" si="8"/>
        <v>244.44230769230768</v>
      </c>
      <c r="CP30" s="232">
        <v>1281</v>
      </c>
      <c r="CQ30" s="232">
        <f t="shared" si="9"/>
        <v>24.634615384615383</v>
      </c>
      <c r="CR30" s="232">
        <v>16866</v>
      </c>
      <c r="CS30" s="232">
        <f t="shared" si="10"/>
        <v>324.34615384615387</v>
      </c>
      <c r="CT30" s="232">
        <v>16170</v>
      </c>
      <c r="CU30" s="232">
        <f t="shared" si="11"/>
        <v>310.96153846153845</v>
      </c>
      <c r="CV30" s="232">
        <v>3357</v>
      </c>
      <c r="CW30" s="232">
        <v>50385</v>
      </c>
      <c r="CX30" s="233">
        <v>47028</v>
      </c>
      <c r="DP30" s="142" t="s">
        <v>1768</v>
      </c>
      <c r="DQ30" s="142" t="s">
        <v>1761</v>
      </c>
      <c r="DR30" s="142" t="s">
        <v>2682</v>
      </c>
      <c r="DS30" s="142" t="s">
        <v>1543</v>
      </c>
      <c r="DU30" s="181" t="s">
        <v>1212</v>
      </c>
      <c r="DV30" s="182" t="s">
        <v>1278</v>
      </c>
      <c r="DW30" s="135" t="s">
        <v>1598</v>
      </c>
      <c r="DX30" s="200">
        <f t="shared" si="13"/>
        <v>37.5</v>
      </c>
      <c r="DY30" s="135">
        <v>30</v>
      </c>
      <c r="EP30" s="135">
        <f t="shared" si="22"/>
        <v>0</v>
      </c>
      <c r="ET30" s="135" t="s">
        <v>2859</v>
      </c>
      <c r="EU30" s="135" t="s">
        <v>2949</v>
      </c>
      <c r="EY30" s="135" t="s">
        <v>2670</v>
      </c>
      <c r="EZ30" s="135" t="s">
        <v>2891</v>
      </c>
      <c r="FA30" s="135" t="s">
        <v>3360</v>
      </c>
      <c r="FB30" s="135" t="str">
        <f t="shared" si="7"/>
        <v>5lgOpname</v>
      </c>
      <c r="FC30" s="156">
        <f>VLOOKUP(EZ30,'Tarieven ZZP'!$D$6:$J$134,7,FALSE)</f>
        <v>274.66000000000003</v>
      </c>
      <c r="FD30" s="156">
        <f t="shared" si="1"/>
        <v>1922.6200000000001</v>
      </c>
      <c r="FI30" s="181" t="s">
        <v>1206</v>
      </c>
      <c r="FJ30" s="135">
        <v>1</v>
      </c>
    </row>
    <row r="31" spans="1:166" ht="18.600000000000001" thickBot="1" x14ac:dyDescent="0.4">
      <c r="B31" s="285"/>
      <c r="C31" s="321">
        <f t="shared" si="14"/>
        <v>0</v>
      </c>
      <c r="D31" s="285"/>
      <c r="E31" s="285"/>
      <c r="F31" s="286"/>
      <c r="G31" s="287">
        <f t="shared" si="15"/>
        <v>0</v>
      </c>
      <c r="H31" s="363">
        <f>U43</f>
        <v>0</v>
      </c>
      <c r="I31" s="365">
        <f t="shared" si="16"/>
        <v>0</v>
      </c>
      <c r="K31" s="359">
        <f t="shared" si="17"/>
        <v>0</v>
      </c>
      <c r="L31" s="475" t="str">
        <f>IFERROR(IFERROR(VLOOKUP(M96,E96:F109,2,0)," ")," ")</f>
        <v xml:space="preserve"> </v>
      </c>
      <c r="M31" s="476"/>
      <c r="N31" s="288">
        <f t="shared" si="21"/>
        <v>0</v>
      </c>
      <c r="O31" s="393"/>
      <c r="P31" s="394"/>
      <c r="Q31" s="394"/>
      <c r="R31" s="394"/>
      <c r="S31" s="294"/>
      <c r="U31" s="262">
        <f t="shared" si="23"/>
        <v>0</v>
      </c>
      <c r="V31" s="133">
        <f t="shared" si="24"/>
        <v>0</v>
      </c>
      <c r="W31" s="142">
        <f t="shared" si="25"/>
        <v>0</v>
      </c>
      <c r="X31" s="135">
        <f t="shared" si="26"/>
        <v>0</v>
      </c>
      <c r="AC31" s="150"/>
      <c r="AD31" s="150"/>
      <c r="AE31" s="142" t="s">
        <v>1762</v>
      </c>
      <c r="AF31" s="143"/>
      <c r="AG31" s="150"/>
      <c r="AH31" s="150"/>
      <c r="AI31" s="150"/>
      <c r="AJ31" s="135" t="s">
        <v>2827</v>
      </c>
      <c r="AK31" s="135" t="s">
        <v>2787</v>
      </c>
      <c r="AL31" s="151"/>
      <c r="AM31" s="151"/>
      <c r="AN31" s="170">
        <v>23</v>
      </c>
      <c r="AO31" s="170" t="s">
        <v>1553</v>
      </c>
      <c r="AP31" s="170"/>
      <c r="AQ31" s="170"/>
      <c r="AR31" s="170"/>
      <c r="AS31" s="170"/>
      <c r="AT31" s="170"/>
      <c r="AU31" s="170"/>
      <c r="AV31" s="170"/>
      <c r="AW31" s="170"/>
      <c r="AX31" s="165" t="s">
        <v>1659</v>
      </c>
      <c r="AY31" s="135" t="s">
        <v>419</v>
      </c>
      <c r="AZ31" s="206">
        <f>VLOOKUP(AY31,'Tarieven ZIN prestaties'!$B$1:$D$84,2,FALSE)</f>
        <v>127.83</v>
      </c>
      <c r="BA31" s="207"/>
      <c r="BD31" s="181" t="s">
        <v>1211</v>
      </c>
      <c r="BE31" s="209">
        <v>844</v>
      </c>
      <c r="BF31" s="182" t="s">
        <v>1278</v>
      </c>
      <c r="BG31" s="210">
        <f>VLOOKUP(BD31,'PGB tarieven'!$A$7:$M$53,13,FALSE)</f>
        <v>56700</v>
      </c>
      <c r="BH31" s="211">
        <f t="shared" si="5"/>
        <v>1087.3972602739725</v>
      </c>
      <c r="BI31" s="193"/>
      <c r="BJ31" s="193"/>
      <c r="BK31" s="212" t="s">
        <v>1198</v>
      </c>
      <c r="BL31" s="175">
        <f>VLOOKUP(BK31,'Ruimte behandeling basis MPT'!$A$2:$H$41,8,FALSE)</f>
        <v>0</v>
      </c>
      <c r="BM31" s="181" t="s">
        <v>1243</v>
      </c>
      <c r="BN31" s="209">
        <v>790</v>
      </c>
      <c r="BO31" s="182" t="s">
        <v>1244</v>
      </c>
      <c r="BP31" s="253">
        <f>VLOOKUP(BM31,'PGB tarieven'!$A$7:$M$53,13,FALSE)</f>
        <v>60587</v>
      </c>
      <c r="BQ31" s="211">
        <f t="shared" si="12"/>
        <v>1161.9424657534246</v>
      </c>
      <c r="BR31" s="135">
        <v>2085</v>
      </c>
      <c r="BS31" s="135" t="s">
        <v>1813</v>
      </c>
      <c r="BZ31" s="214" t="s">
        <v>1295</v>
      </c>
      <c r="CA31" s="214">
        <f t="shared" si="19"/>
        <v>0</v>
      </c>
      <c r="CB31" s="214">
        <v>155.15</v>
      </c>
      <c r="CC31" s="214" t="s">
        <v>421</v>
      </c>
      <c r="CD31" s="214">
        <f t="shared" si="20"/>
        <v>0</v>
      </c>
      <c r="CE31" s="214"/>
      <c r="CF31" s="214"/>
      <c r="CG31" s="214"/>
      <c r="CH31" s="214"/>
      <c r="CI31" s="181" t="s">
        <v>1211</v>
      </c>
      <c r="CJ31" s="209" t="s">
        <v>1633</v>
      </c>
      <c r="CK31" s="215" t="s">
        <v>1244</v>
      </c>
      <c r="CL31" s="235" t="s">
        <v>1200</v>
      </c>
      <c r="CM31" s="236">
        <v>824</v>
      </c>
      <c r="CN31" s="237">
        <v>12711</v>
      </c>
      <c r="CO31" s="232">
        <f t="shared" si="8"/>
        <v>244.44230769230768</v>
      </c>
      <c r="CP31" s="237">
        <v>1281</v>
      </c>
      <c r="CQ31" s="232">
        <f t="shared" si="9"/>
        <v>24.634615384615383</v>
      </c>
      <c r="CR31" s="237">
        <v>10907</v>
      </c>
      <c r="CS31" s="232">
        <f t="shared" si="10"/>
        <v>209.75</v>
      </c>
      <c r="CT31" s="237">
        <v>18622</v>
      </c>
      <c r="CU31" s="232">
        <f t="shared" si="11"/>
        <v>358.11538461538464</v>
      </c>
      <c r="CV31" s="237">
        <v>3357</v>
      </c>
      <c r="CW31" s="237">
        <v>46878</v>
      </c>
      <c r="CX31" s="233">
        <v>43521</v>
      </c>
      <c r="DP31" s="142"/>
      <c r="DQ31" s="142" t="s">
        <v>1762</v>
      </c>
      <c r="DR31" s="142" t="s">
        <v>2683</v>
      </c>
      <c r="DS31" s="142" t="s">
        <v>1543</v>
      </c>
      <c r="DU31" s="181" t="s">
        <v>1213</v>
      </c>
      <c r="DV31" s="182" t="s">
        <v>1278</v>
      </c>
      <c r="DW31" s="135" t="s">
        <v>1631</v>
      </c>
      <c r="DX31" s="200">
        <f t="shared" si="13"/>
        <v>41.25</v>
      </c>
      <c r="DY31" s="254">
        <v>33</v>
      </c>
      <c r="EO31" s="142" t="str">
        <f t="shared" ref="EO31:EO39" si="27">CONCATENATE($F$5,$G$8,B18)</f>
        <v/>
      </c>
      <c r="EP31" s="135">
        <f t="shared" si="22"/>
        <v>0</v>
      </c>
      <c r="ET31" s="135" t="s">
        <v>2842</v>
      </c>
      <c r="EU31" s="135" t="s">
        <v>2778</v>
      </c>
      <c r="EY31" s="135" t="s">
        <v>2671</v>
      </c>
      <c r="EZ31" s="135" t="s">
        <v>2892</v>
      </c>
      <c r="FA31" s="135" t="s">
        <v>3360</v>
      </c>
      <c r="FB31" s="135" t="str">
        <f t="shared" si="7"/>
        <v>6lgOpname</v>
      </c>
      <c r="FC31" s="156">
        <f>VLOOKUP(EZ31,'Tarieven ZZP'!$D$6:$J$134,7,FALSE)</f>
        <v>340.27</v>
      </c>
      <c r="FD31" s="156">
        <f t="shared" si="1"/>
        <v>2381.89</v>
      </c>
      <c r="FI31" s="181" t="s">
        <v>1207</v>
      </c>
      <c r="FJ31" s="135">
        <v>1</v>
      </c>
    </row>
    <row r="32" spans="1:166" ht="21.6" thickBot="1" x14ac:dyDescent="0.45">
      <c r="B32" s="350" t="str">
        <f>IF(M5="extramurale ruimte","Totale omvang ZIN thuis excl. Behandeling","Totale omvang ZIN")</f>
        <v>Totale omvang ZIN thuis excl. Behandeling</v>
      </c>
      <c r="C32" s="351"/>
      <c r="D32" s="351"/>
      <c r="E32" s="351"/>
      <c r="F32" s="351"/>
      <c r="G32" s="351"/>
      <c r="H32" s="351"/>
      <c r="I32" s="352">
        <f ca="1">IF(M6="extramurale ruimte",BC14,BC14+BC11)</f>
        <v>0</v>
      </c>
      <c r="K32" s="361">
        <f ca="1">IFERROR(I32/M6,0)</f>
        <v>0</v>
      </c>
      <c r="L32" s="475" t="str">
        <f>IFERROR(IFERROR(VLOOKUP(M97,E97:F110,2,0)," ")," ")</f>
        <v xml:space="preserve"> </v>
      </c>
      <c r="M32" s="476"/>
      <c r="N32" s="288">
        <f t="shared" si="21"/>
        <v>0</v>
      </c>
      <c r="O32" s="393"/>
      <c r="P32" s="394"/>
      <c r="Q32" s="394"/>
      <c r="R32" s="394"/>
      <c r="S32" s="294"/>
      <c r="U32" s="262">
        <f t="shared" si="23"/>
        <v>0</v>
      </c>
      <c r="V32" s="133">
        <f t="shared" si="24"/>
        <v>0</v>
      </c>
      <c r="W32" s="142">
        <f t="shared" si="25"/>
        <v>0</v>
      </c>
      <c r="X32" s="135">
        <f t="shared" si="26"/>
        <v>0</v>
      </c>
      <c r="Z32" s="135">
        <f>IFERROR(VLOOKUP($Q$22,$T$46:$V$50,2,FALSE),0)</f>
        <v>0</v>
      </c>
      <c r="AA32" s="135">
        <f>IF(Z32=0,1,2)</f>
        <v>1</v>
      </c>
      <c r="AC32" s="150"/>
      <c r="AD32" s="150"/>
      <c r="AE32" s="142" t="s">
        <v>1763</v>
      </c>
      <c r="AF32" s="143"/>
      <c r="AG32" s="150"/>
      <c r="AH32" s="150"/>
      <c r="AI32" s="150"/>
      <c r="AJ32" s="135" t="s">
        <v>2828</v>
      </c>
      <c r="AK32" s="135" t="s">
        <v>2788</v>
      </c>
      <c r="AL32" s="151"/>
      <c r="AM32" s="151"/>
      <c r="AN32" s="170">
        <v>24</v>
      </c>
      <c r="AO32" s="170" t="s">
        <v>1553</v>
      </c>
      <c r="AP32" s="170"/>
      <c r="AQ32" s="170"/>
      <c r="AR32" s="170"/>
      <c r="AS32" s="170"/>
      <c r="AT32" s="170"/>
      <c r="AU32" s="170"/>
      <c r="AV32" s="170"/>
      <c r="AW32" s="170"/>
      <c r="AX32" s="165" t="s">
        <v>1660</v>
      </c>
      <c r="AY32" s="135" t="s">
        <v>411</v>
      </c>
      <c r="AZ32" s="206">
        <f>VLOOKUP(AY32,'Tarieven ZIN prestaties'!$B$1:$D$84,2,FALSE)</f>
        <v>127.83</v>
      </c>
      <c r="BA32" s="207"/>
      <c r="BD32" s="181" t="s">
        <v>1212</v>
      </c>
      <c r="BE32" s="209">
        <v>846</v>
      </c>
      <c r="BF32" s="182" t="s">
        <v>1278</v>
      </c>
      <c r="BG32" s="210">
        <f>VLOOKUP(BD32,'PGB tarieven'!$A$7:$M$53,13,FALSE)</f>
        <v>76733</v>
      </c>
      <c r="BH32" s="211">
        <f t="shared" si="5"/>
        <v>1471.5917808219178</v>
      </c>
      <c r="BI32" s="193"/>
      <c r="BJ32" s="193"/>
      <c r="BK32" s="212" t="s">
        <v>1199</v>
      </c>
      <c r="BL32" s="175">
        <f>VLOOKUP(BK32,'Ruimte behandeling basis MPT'!$A$2:$H$41,8,FALSE)</f>
        <v>0</v>
      </c>
      <c r="BR32" s="135">
        <v>85</v>
      </c>
      <c r="BS32" s="135" t="s">
        <v>1814</v>
      </c>
      <c r="BZ32" s="214"/>
      <c r="CA32" s="214"/>
      <c r="CB32" s="214"/>
      <c r="CC32" s="214" t="s">
        <v>1619</v>
      </c>
      <c r="CD32" s="214">
        <f>SUM(CD26:CD31)</f>
        <v>0</v>
      </c>
      <c r="CE32" s="214"/>
      <c r="CF32" s="214"/>
      <c r="CG32" s="214"/>
      <c r="CH32" s="214"/>
      <c r="CI32" s="181" t="s">
        <v>1212</v>
      </c>
      <c r="CJ32" s="209" t="s">
        <v>1633</v>
      </c>
      <c r="CK32" s="215" t="s">
        <v>1244</v>
      </c>
      <c r="CL32" s="230" t="s">
        <v>1201</v>
      </c>
      <c r="CM32" s="231">
        <v>826</v>
      </c>
      <c r="CN32" s="232">
        <v>12711</v>
      </c>
      <c r="CO32" s="232">
        <f t="shared" si="8"/>
        <v>244.44230769230768</v>
      </c>
      <c r="CP32" s="232">
        <v>1281</v>
      </c>
      <c r="CQ32" s="232">
        <f t="shared" si="9"/>
        <v>24.634615384615383</v>
      </c>
      <c r="CR32" s="232">
        <v>16866</v>
      </c>
      <c r="CS32" s="232">
        <f t="shared" si="10"/>
        <v>324.34615384615387</v>
      </c>
      <c r="CT32" s="232">
        <v>16170</v>
      </c>
      <c r="CU32" s="232">
        <f t="shared" si="11"/>
        <v>310.96153846153845</v>
      </c>
      <c r="CV32" s="232">
        <v>3357</v>
      </c>
      <c r="CW32" s="232">
        <v>50385</v>
      </c>
      <c r="CX32" s="233">
        <v>47028</v>
      </c>
      <c r="DP32" s="142"/>
      <c r="DQ32" s="142" t="s">
        <v>1763</v>
      </c>
      <c r="DR32" s="142" t="s">
        <v>2684</v>
      </c>
      <c r="DS32" s="142" t="s">
        <v>1543</v>
      </c>
      <c r="DU32" s="181" t="s">
        <v>1205</v>
      </c>
      <c r="DV32" s="182" t="s">
        <v>1278</v>
      </c>
      <c r="DW32" s="135" t="s">
        <v>1598</v>
      </c>
      <c r="DX32" s="200">
        <f t="shared" si="13"/>
        <v>24.375</v>
      </c>
      <c r="DY32" s="135">
        <v>19.5</v>
      </c>
      <c r="EO32" s="142" t="str">
        <f t="shared" si="27"/>
        <v/>
      </c>
      <c r="EP32" s="135">
        <f t="shared" si="22"/>
        <v>0</v>
      </c>
      <c r="ET32" s="135" t="s">
        <v>2848</v>
      </c>
      <c r="EU32" s="135" t="s">
        <v>2938</v>
      </c>
      <c r="EY32" s="135" t="s">
        <v>2672</v>
      </c>
      <c r="EZ32" s="135" t="s">
        <v>2893</v>
      </c>
      <c r="FA32" s="135" t="s">
        <v>3360</v>
      </c>
      <c r="FB32" s="135" t="str">
        <f t="shared" si="7"/>
        <v>7lgOpname</v>
      </c>
      <c r="FC32" s="156">
        <f>VLOOKUP(EZ32,'Tarieven ZZP'!$D$6:$J$134,7,FALSE)</f>
        <v>351.58</v>
      </c>
      <c r="FD32" s="156">
        <f t="shared" si="1"/>
        <v>2461.06</v>
      </c>
      <c r="FI32" s="181" t="s">
        <v>1208</v>
      </c>
      <c r="FJ32" s="135">
        <v>1</v>
      </c>
    </row>
    <row r="33" spans="1:166" ht="21.6" thickBot="1" x14ac:dyDescent="0.45">
      <c r="B33" s="350" t="str">
        <f>IF(M5="extramurale ruimte","Totale omvang behandeling"," ")</f>
        <v>Totale omvang behandeling</v>
      </c>
      <c r="C33" s="351"/>
      <c r="D33" s="351"/>
      <c r="E33" s="351"/>
      <c r="F33" s="351"/>
      <c r="G33" s="351"/>
      <c r="H33" s="351"/>
      <c r="I33" s="353">
        <f ca="1">IF(M5="extramurale ruimte",BC11,0)</f>
        <v>0</v>
      </c>
      <c r="K33" s="366">
        <f ca="1">IFERROR(I33/M6,0)</f>
        <v>0</v>
      </c>
      <c r="L33" s="475" t="str">
        <f t="shared" ref="L33:L38" si="28">IFERROR(VLOOKUP(M98,E98:F111,2,0)," ")</f>
        <v xml:space="preserve"> </v>
      </c>
      <c r="M33" s="476"/>
      <c r="N33" s="288">
        <f t="shared" si="21"/>
        <v>0</v>
      </c>
      <c r="O33" s="393"/>
      <c r="P33" s="394"/>
      <c r="Q33" s="394"/>
      <c r="R33" s="394"/>
      <c r="S33" s="294"/>
      <c r="U33" s="262">
        <f t="shared" si="23"/>
        <v>0</v>
      </c>
      <c r="V33" s="133">
        <f t="shared" si="24"/>
        <v>0</v>
      </c>
      <c r="W33" s="142">
        <f t="shared" si="25"/>
        <v>0</v>
      </c>
      <c r="X33" s="135">
        <f t="shared" si="26"/>
        <v>0</v>
      </c>
      <c r="Z33" s="135">
        <f>IFERROR(VLOOKUP(Q24,U52:U55,1,FALSE),0)</f>
        <v>0</v>
      </c>
      <c r="AA33" s="135">
        <f>IF(Z33=0,1,2)</f>
        <v>1</v>
      </c>
      <c r="AB33" s="135">
        <f>IF(AA35="ja",4,2)</f>
        <v>2</v>
      </c>
      <c r="AC33" s="150"/>
      <c r="AD33" s="150"/>
      <c r="AE33" s="142" t="s">
        <v>1764</v>
      </c>
      <c r="AF33" s="143"/>
      <c r="AG33" s="150"/>
      <c r="AH33" s="150"/>
      <c r="AI33" s="150"/>
      <c r="AJ33" s="135" t="s">
        <v>2829</v>
      </c>
      <c r="AK33" s="135" t="s">
        <v>2789</v>
      </c>
      <c r="AL33" s="151"/>
      <c r="AM33" s="151"/>
      <c r="AN33" s="170">
        <v>25</v>
      </c>
      <c r="AO33" s="170" t="s">
        <v>1553</v>
      </c>
      <c r="AP33" s="170"/>
      <c r="AQ33" s="170"/>
      <c r="AR33" s="170"/>
      <c r="AS33" s="170"/>
      <c r="AT33" s="170"/>
      <c r="AU33" s="170"/>
      <c r="AV33" s="170"/>
      <c r="AW33" s="170"/>
      <c r="AX33" s="165" t="s">
        <v>1661</v>
      </c>
      <c r="AY33" s="135" t="s">
        <v>403</v>
      </c>
      <c r="AZ33" s="206">
        <f>VLOOKUP(AY33,'Tarieven ZIN prestaties'!$B$1:$D$84,2,FALSE)</f>
        <v>126.07</v>
      </c>
      <c r="BA33" s="207"/>
      <c r="BD33" s="181" t="s">
        <v>1213</v>
      </c>
      <c r="BE33" s="209">
        <v>848</v>
      </c>
      <c r="BF33" s="182" t="s">
        <v>1278</v>
      </c>
      <c r="BG33" s="210">
        <f>VLOOKUP(BD33,'PGB tarieven'!$A$7:$M$53,13,FALSE)</f>
        <v>83240</v>
      </c>
      <c r="BH33" s="211">
        <f t="shared" si="5"/>
        <v>1596.3835616438355</v>
      </c>
      <c r="BI33" s="193"/>
      <c r="BJ33" s="193"/>
      <c r="BK33" s="212" t="s">
        <v>1200</v>
      </c>
      <c r="BL33" s="175">
        <f>VLOOKUP(BK33,'Ruimte behandeling basis MPT'!$A$2:$H$41,8,FALSE)</f>
        <v>163.29768763558633</v>
      </c>
      <c r="BR33" s="135">
        <v>84</v>
      </c>
      <c r="BS33" s="135" t="s">
        <v>1814</v>
      </c>
      <c r="CA33" s="214"/>
      <c r="CB33" s="214"/>
      <c r="CC33" s="214"/>
      <c r="CD33" s="214"/>
      <c r="CE33" s="214"/>
      <c r="CF33" s="214"/>
      <c r="CG33" s="214"/>
      <c r="CH33" s="214"/>
      <c r="CI33" s="181" t="s">
        <v>1213</v>
      </c>
      <c r="CJ33" s="209" t="s">
        <v>1633</v>
      </c>
      <c r="CK33" s="215" t="s">
        <v>1244</v>
      </c>
      <c r="CL33" s="235" t="s">
        <v>1202</v>
      </c>
      <c r="CM33" s="236">
        <v>828</v>
      </c>
      <c r="CN33" s="237">
        <v>17176</v>
      </c>
      <c r="CO33" s="232">
        <f t="shared" si="8"/>
        <v>330.30769230769232</v>
      </c>
      <c r="CP33" s="237">
        <v>3845</v>
      </c>
      <c r="CQ33" s="232">
        <f t="shared" si="9"/>
        <v>73.942307692307693</v>
      </c>
      <c r="CR33" s="237">
        <v>16866</v>
      </c>
      <c r="CS33" s="232">
        <f t="shared" si="10"/>
        <v>324.34615384615387</v>
      </c>
      <c r="CT33" s="237">
        <v>18622</v>
      </c>
      <c r="CU33" s="232">
        <f t="shared" si="11"/>
        <v>358.11538461538464</v>
      </c>
      <c r="CV33" s="237">
        <v>3357</v>
      </c>
      <c r="CW33" s="237">
        <v>59866</v>
      </c>
      <c r="CX33" s="233">
        <v>56509</v>
      </c>
      <c r="DP33" s="142"/>
      <c r="DQ33" s="142" t="s">
        <v>1764</v>
      </c>
      <c r="DR33" s="142" t="s">
        <v>2685</v>
      </c>
      <c r="DS33" s="142" t="s">
        <v>1543</v>
      </c>
      <c r="DU33" s="181" t="s">
        <v>1206</v>
      </c>
      <c r="DV33" s="182" t="s">
        <v>1278</v>
      </c>
      <c r="DW33" s="135" t="s">
        <v>1598</v>
      </c>
      <c r="DX33" s="200">
        <f t="shared" si="13"/>
        <v>48.125</v>
      </c>
      <c r="DY33" s="135">
        <v>38.5</v>
      </c>
      <c r="EO33" s="142" t="str">
        <f t="shared" si="27"/>
        <v/>
      </c>
      <c r="EP33" s="135">
        <f t="shared" si="22"/>
        <v>0</v>
      </c>
      <c r="ET33" s="135" t="s">
        <v>2854</v>
      </c>
      <c r="EU33" s="135" t="s">
        <v>2944</v>
      </c>
      <c r="EY33" s="135" t="s">
        <v>2679</v>
      </c>
      <c r="EZ33" s="135" t="s">
        <v>2906</v>
      </c>
      <c r="FA33" s="135" t="s">
        <v>3360</v>
      </c>
      <c r="FB33" s="135" t="str">
        <f t="shared" si="7"/>
        <v>1zgaudOpname</v>
      </c>
      <c r="FC33" s="156">
        <f>VLOOKUP(EZ33,'Tarieven ZZP'!$D$6:$J$134,7,FALSE)</f>
        <v>214.44</v>
      </c>
      <c r="FD33" s="156">
        <f t="shared" si="1"/>
        <v>1501.08</v>
      </c>
      <c r="FI33" s="181" t="s">
        <v>1223</v>
      </c>
      <c r="FJ33" s="135">
        <v>2</v>
      </c>
    </row>
    <row r="34" spans="1:166" ht="19.5" customHeight="1" thickBot="1" x14ac:dyDescent="0.45">
      <c r="B34" s="350" t="s">
        <v>3355</v>
      </c>
      <c r="C34" s="351"/>
      <c r="D34" s="351"/>
      <c r="E34" s="351"/>
      <c r="F34" s="351"/>
      <c r="G34" s="351"/>
      <c r="H34" s="351"/>
      <c r="I34" s="331">
        <f>M8</f>
        <v>0</v>
      </c>
      <c r="J34" s="351"/>
      <c r="K34" s="366" t="str">
        <f>N8</f>
        <v xml:space="preserve"> </v>
      </c>
      <c r="L34" s="475" t="str">
        <f t="shared" ca="1" si="28"/>
        <v xml:space="preserve"> </v>
      </c>
      <c r="M34" s="476"/>
      <c r="N34" s="288">
        <f t="shared" ca="1" si="21"/>
        <v>0</v>
      </c>
      <c r="O34" s="393"/>
      <c r="P34" s="394"/>
      <c r="Q34" s="394"/>
      <c r="R34" s="394"/>
      <c r="S34" s="294"/>
      <c r="U34" s="262">
        <f t="shared" si="23"/>
        <v>0</v>
      </c>
      <c r="V34" s="133">
        <f t="shared" si="24"/>
        <v>0</v>
      </c>
      <c r="W34" s="142">
        <f t="shared" si="25"/>
        <v>0</v>
      </c>
      <c r="X34" s="135">
        <f t="shared" si="26"/>
        <v>0</v>
      </c>
      <c r="AB34" s="135">
        <f>SUM(AA33:AB33)</f>
        <v>3</v>
      </c>
      <c r="AC34" s="150"/>
      <c r="AD34" s="150"/>
      <c r="AE34" s="142" t="s">
        <v>1765</v>
      </c>
      <c r="AF34" s="143"/>
      <c r="AG34" s="150"/>
      <c r="AH34" s="150"/>
      <c r="AI34" s="150"/>
      <c r="AJ34" s="135" t="s">
        <v>2830</v>
      </c>
      <c r="AK34" s="135" t="s">
        <v>2790</v>
      </c>
      <c r="AL34" s="151"/>
      <c r="AM34" s="151"/>
      <c r="AN34" s="170">
        <v>5</v>
      </c>
      <c r="AO34" s="170" t="s">
        <v>1548</v>
      </c>
      <c r="AP34" s="170"/>
      <c r="AQ34" s="170"/>
      <c r="AR34" s="170"/>
      <c r="AS34" s="170"/>
      <c r="AT34" s="170"/>
      <c r="AU34" s="170"/>
      <c r="AV34" s="170"/>
      <c r="AW34" s="170"/>
      <c r="AX34" s="165" t="s">
        <v>1662</v>
      </c>
      <c r="AY34" s="135" t="s">
        <v>437</v>
      </c>
      <c r="AZ34" s="206">
        <f>VLOOKUP(AY34,'Tarieven ZIN prestaties'!$B$1:$D$84,2,FALSE)</f>
        <v>89.55</v>
      </c>
      <c r="BA34" s="207"/>
      <c r="BD34" s="181" t="s">
        <v>1205</v>
      </c>
      <c r="BE34" s="209">
        <v>850</v>
      </c>
      <c r="BF34" s="182" t="s">
        <v>1278</v>
      </c>
      <c r="BG34" s="210">
        <f>VLOOKUP(BD34,'PGB tarieven'!$A$7:$M$53,13,FALSE)</f>
        <v>53188</v>
      </c>
      <c r="BH34" s="211">
        <f t="shared" si="5"/>
        <v>1020.0438356164384</v>
      </c>
      <c r="BI34" s="193"/>
      <c r="BJ34" s="193"/>
      <c r="BK34" s="212" t="s">
        <v>1201</v>
      </c>
      <c r="BL34" s="175">
        <f>VLOOKUP(BK34,'Ruimte behandeling basis MPT'!$A$2:$H$41,8,FALSE)</f>
        <v>255.55828525100969</v>
      </c>
      <c r="BR34" s="135">
        <v>83</v>
      </c>
      <c r="BS34" s="135" t="s">
        <v>1814</v>
      </c>
      <c r="CA34" s="214"/>
      <c r="CB34" s="214"/>
      <c r="CC34" s="214"/>
      <c r="CD34" s="214"/>
      <c r="CE34" s="214" t="s">
        <v>1620</v>
      </c>
      <c r="CF34" s="214"/>
      <c r="CG34" s="263">
        <f>M10</f>
        <v>0</v>
      </c>
      <c r="CH34" s="214"/>
      <c r="CI34" s="181" t="s">
        <v>1205</v>
      </c>
      <c r="CJ34" s="209" t="s">
        <v>1633</v>
      </c>
      <c r="CK34" s="215" t="s">
        <v>1244</v>
      </c>
      <c r="CL34" s="230" t="s">
        <v>1203</v>
      </c>
      <c r="CM34" s="231">
        <v>830</v>
      </c>
      <c r="CN34" s="232">
        <v>21667</v>
      </c>
      <c r="CO34" s="232">
        <f t="shared" si="8"/>
        <v>416.67307692307691</v>
      </c>
      <c r="CP34" s="232">
        <v>7690</v>
      </c>
      <c r="CQ34" s="232">
        <f t="shared" si="9"/>
        <v>147.88461538461539</v>
      </c>
      <c r="CR34" s="232">
        <v>16866</v>
      </c>
      <c r="CS34" s="232">
        <f t="shared" si="10"/>
        <v>324.34615384615387</v>
      </c>
      <c r="CT34" s="232">
        <v>16170</v>
      </c>
      <c r="CU34" s="232">
        <f t="shared" si="11"/>
        <v>310.96153846153845</v>
      </c>
      <c r="CV34" s="232">
        <v>3357</v>
      </c>
      <c r="CW34" s="232">
        <v>65750</v>
      </c>
      <c r="CX34" s="233">
        <v>62393</v>
      </c>
      <c r="DP34" s="142"/>
      <c r="DQ34" s="142" t="s">
        <v>1765</v>
      </c>
      <c r="DR34" s="142" t="s">
        <v>2686</v>
      </c>
      <c r="DS34" s="142" t="s">
        <v>1543</v>
      </c>
      <c r="DU34" s="181" t="s">
        <v>1207</v>
      </c>
      <c r="DV34" s="182" t="s">
        <v>1278</v>
      </c>
      <c r="DW34" s="135" t="s">
        <v>1631</v>
      </c>
      <c r="DX34" s="200">
        <f t="shared" si="13"/>
        <v>58.75</v>
      </c>
      <c r="DY34" s="254">
        <v>47</v>
      </c>
      <c r="EO34" s="142" t="str">
        <f t="shared" si="27"/>
        <v/>
      </c>
      <c r="EP34" s="135">
        <f t="shared" si="22"/>
        <v>0</v>
      </c>
      <c r="ET34" s="135" t="s">
        <v>2860</v>
      </c>
      <c r="EU34" s="135" t="s">
        <v>2950</v>
      </c>
      <c r="EY34" s="135" t="s">
        <v>2687</v>
      </c>
      <c r="EZ34" s="135" t="s">
        <v>2907</v>
      </c>
      <c r="FA34" s="135" t="s">
        <v>3360</v>
      </c>
      <c r="FB34" s="135" t="str">
        <f t="shared" si="7"/>
        <v>2zgaudOpname</v>
      </c>
      <c r="FC34" s="156">
        <f>VLOOKUP(EZ34,'Tarieven ZZP'!$D$6:$J$134,7,FALSE)</f>
        <v>390.88</v>
      </c>
      <c r="FD34" s="156">
        <f t="shared" si="1"/>
        <v>2736.16</v>
      </c>
      <c r="FI34" s="181" t="s">
        <v>1214</v>
      </c>
      <c r="FJ34" s="135">
        <v>2</v>
      </c>
    </row>
    <row r="35" spans="1:166" ht="21.6" thickBot="1" x14ac:dyDescent="0.45">
      <c r="B35" s="350" t="s">
        <v>3354</v>
      </c>
      <c r="C35" s="351"/>
      <c r="D35" s="351"/>
      <c r="E35" s="351"/>
      <c r="F35" s="351"/>
      <c r="G35" s="351"/>
      <c r="H35" s="351"/>
      <c r="I35" s="353">
        <f ca="1">SUM(I32:I34)</f>
        <v>0</v>
      </c>
      <c r="J35" s="351"/>
      <c r="K35" s="330">
        <f ca="1">SUM(K32:K34)</f>
        <v>0</v>
      </c>
      <c r="L35" s="475" t="str">
        <f t="shared" ca="1" si="28"/>
        <v xml:space="preserve"> </v>
      </c>
      <c r="M35" s="476"/>
      <c r="N35" s="288">
        <f t="shared" ca="1" si="21"/>
        <v>0</v>
      </c>
      <c r="O35" s="393"/>
      <c r="P35" s="394"/>
      <c r="Q35" s="394"/>
      <c r="R35" s="394"/>
      <c r="S35" s="294"/>
      <c r="U35" s="262">
        <f t="shared" si="23"/>
        <v>0</v>
      </c>
      <c r="V35" s="133">
        <f t="shared" si="24"/>
        <v>0</v>
      </c>
      <c r="W35" s="142">
        <f t="shared" si="25"/>
        <v>0</v>
      </c>
      <c r="X35" s="135">
        <f t="shared" si="26"/>
        <v>0</v>
      </c>
      <c r="Z35" s="135">
        <f>IFERROR(IF(AA35="ja","toeslag beademing",VLOOKUP(Q24,U51:U55,1,0)),0)</f>
        <v>0</v>
      </c>
      <c r="AA35" s="135" t="str">
        <f>LEFT(Q23,2)</f>
        <v/>
      </c>
      <c r="AC35" s="150"/>
      <c r="AD35" s="150"/>
      <c r="AE35" s="142" t="s">
        <v>1766</v>
      </c>
      <c r="AF35" s="143"/>
      <c r="AG35" s="150"/>
      <c r="AH35" s="150"/>
      <c r="AI35" s="150"/>
      <c r="AJ35" s="135" t="s">
        <v>2831</v>
      </c>
      <c r="AK35" s="135" t="s">
        <v>2791</v>
      </c>
      <c r="AL35" s="151"/>
      <c r="AM35" s="151"/>
      <c r="AN35" s="170">
        <v>6</v>
      </c>
      <c r="AO35" s="170" t="s">
        <v>1548</v>
      </c>
      <c r="AP35" s="170"/>
      <c r="AQ35" s="170"/>
      <c r="AR35" s="170"/>
      <c r="AS35" s="170"/>
      <c r="AT35" s="170"/>
      <c r="AU35" s="170"/>
      <c r="AV35" s="170"/>
      <c r="AW35" s="170"/>
      <c r="AX35" s="165" t="s">
        <v>1663</v>
      </c>
      <c r="AY35" s="135" t="s">
        <v>397</v>
      </c>
      <c r="AZ35" s="206">
        <f>VLOOKUP(AY35,'Tarieven ZIN prestaties'!$B$1:$D$84,2,FALSE)</f>
        <v>132.69999999999999</v>
      </c>
      <c r="BA35" s="207"/>
      <c r="BD35" s="181" t="s">
        <v>1206</v>
      </c>
      <c r="BE35" s="209">
        <v>852</v>
      </c>
      <c r="BF35" s="182" t="s">
        <v>1278</v>
      </c>
      <c r="BG35" s="210">
        <f>VLOOKUP(BD35,'PGB tarieven'!$A$7:$M$53,13,FALSE)</f>
        <v>95456</v>
      </c>
      <c r="BH35" s="211">
        <f t="shared" si="5"/>
        <v>1830.66301369863</v>
      </c>
      <c r="BI35" s="193"/>
      <c r="BJ35" s="193"/>
      <c r="BK35" s="212" t="s">
        <v>1202</v>
      </c>
      <c r="BL35" s="175">
        <f>VLOOKUP(BK35,'Ruimte behandeling basis MPT'!$A$2:$H$41,8,FALSE)</f>
        <v>261.53494895195973</v>
      </c>
      <c r="BR35" s="135">
        <v>80</v>
      </c>
      <c r="BS35" s="135" t="s">
        <v>1814</v>
      </c>
      <c r="CA35" s="214"/>
      <c r="CB35" s="214"/>
      <c r="CC35" s="214"/>
      <c r="CD35" s="214"/>
      <c r="CE35" s="214" t="s">
        <v>1621</v>
      </c>
      <c r="CF35" s="214"/>
      <c r="CG35" s="214">
        <f>CD32</f>
        <v>0</v>
      </c>
      <c r="CH35" s="214"/>
      <c r="CI35" s="181" t="s">
        <v>1206</v>
      </c>
      <c r="CJ35" s="209" t="s">
        <v>1633</v>
      </c>
      <c r="CK35" s="215" t="s">
        <v>1244</v>
      </c>
      <c r="CL35" s="235" t="s">
        <v>1204</v>
      </c>
      <c r="CM35" s="236">
        <v>832</v>
      </c>
      <c r="CN35" s="237">
        <v>21667</v>
      </c>
      <c r="CO35" s="232">
        <f t="shared" si="8"/>
        <v>416.67307692307691</v>
      </c>
      <c r="CP35" s="237">
        <v>7690</v>
      </c>
      <c r="CQ35" s="232">
        <f t="shared" si="9"/>
        <v>147.88461538461539</v>
      </c>
      <c r="CR35" s="237">
        <v>22788</v>
      </c>
      <c r="CS35" s="232">
        <f t="shared" si="10"/>
        <v>438.23076923076923</v>
      </c>
      <c r="CT35" s="237">
        <v>13721</v>
      </c>
      <c r="CU35" s="232">
        <f t="shared" si="11"/>
        <v>263.86538461538464</v>
      </c>
      <c r="CV35" s="237">
        <v>3357</v>
      </c>
      <c r="CW35" s="237">
        <v>69223</v>
      </c>
      <c r="CX35" s="233">
        <v>65866</v>
      </c>
      <c r="DP35" s="142"/>
      <c r="DQ35" s="142" t="s">
        <v>1766</v>
      </c>
      <c r="DR35" s="142" t="s">
        <v>2674</v>
      </c>
      <c r="DS35" s="142" t="s">
        <v>2689</v>
      </c>
      <c r="DU35" s="181" t="s">
        <v>1208</v>
      </c>
      <c r="DV35" s="182" t="s">
        <v>1278</v>
      </c>
      <c r="DW35" s="135" t="s">
        <v>1598</v>
      </c>
      <c r="DX35" s="200">
        <f t="shared" si="13"/>
        <v>35</v>
      </c>
      <c r="DY35" s="135">
        <v>28</v>
      </c>
      <c r="EO35" s="142" t="str">
        <f t="shared" si="27"/>
        <v/>
      </c>
      <c r="EP35" s="135">
        <f t="shared" si="22"/>
        <v>0</v>
      </c>
      <c r="ET35" s="135" t="s">
        <v>2843</v>
      </c>
      <c r="EU35" s="135" t="s">
        <v>2779</v>
      </c>
      <c r="EY35" s="135" t="s">
        <v>2680</v>
      </c>
      <c r="EZ35" s="135" t="s">
        <v>2908</v>
      </c>
      <c r="FA35" s="135" t="s">
        <v>3360</v>
      </c>
      <c r="FB35" s="135" t="str">
        <f t="shared" si="7"/>
        <v>3zgaudOpname</v>
      </c>
      <c r="FC35" s="156">
        <f>VLOOKUP(EZ35,'Tarieven ZZP'!$D$6:$J$134,7,FALSE)</f>
        <v>457.94</v>
      </c>
      <c r="FD35" s="156">
        <f t="shared" si="1"/>
        <v>3205.58</v>
      </c>
      <c r="FI35" s="181" t="s">
        <v>1215</v>
      </c>
      <c r="FJ35" s="135">
        <v>2</v>
      </c>
    </row>
    <row r="36" spans="1:166" ht="21.6" thickBot="1" x14ac:dyDescent="0.45">
      <c r="B36" s="350"/>
      <c r="C36" s="351"/>
      <c r="D36" s="351"/>
      <c r="E36" s="351"/>
      <c r="F36" s="351"/>
      <c r="G36" s="351"/>
      <c r="H36" s="351"/>
      <c r="I36" s="353"/>
      <c r="L36" s="475" t="str">
        <f t="shared" ca="1" si="28"/>
        <v xml:space="preserve"> </v>
      </c>
      <c r="M36" s="476"/>
      <c r="N36" s="288">
        <f t="shared" ca="1" si="21"/>
        <v>0</v>
      </c>
      <c r="O36" s="393"/>
      <c r="P36" s="394"/>
      <c r="Q36" s="394"/>
      <c r="R36" s="394"/>
      <c r="S36" s="294"/>
      <c r="U36" s="262">
        <f t="shared" si="23"/>
        <v>0</v>
      </c>
      <c r="V36" s="133">
        <f t="shared" si="24"/>
        <v>0</v>
      </c>
      <c r="W36" s="142">
        <f t="shared" si="25"/>
        <v>0</v>
      </c>
      <c r="X36" s="135">
        <f t="shared" si="26"/>
        <v>0</v>
      </c>
      <c r="AC36" s="150"/>
      <c r="AD36" s="150"/>
      <c r="AE36" s="142" t="s">
        <v>1767</v>
      </c>
      <c r="AF36" s="143"/>
      <c r="AG36" s="150"/>
      <c r="AH36" s="150"/>
      <c r="AI36" s="150"/>
      <c r="AJ36" s="135" t="s">
        <v>2832</v>
      </c>
      <c r="AK36" s="135" t="s">
        <v>2792</v>
      </c>
      <c r="AL36" s="151"/>
      <c r="AM36" s="151"/>
      <c r="AN36" s="170">
        <v>7</v>
      </c>
      <c r="AO36" s="170" t="s">
        <v>1549</v>
      </c>
      <c r="AP36" s="170"/>
      <c r="AQ36" s="170"/>
      <c r="AR36" s="170"/>
      <c r="AS36" s="170"/>
      <c r="AT36" s="170"/>
      <c r="AU36" s="170"/>
      <c r="AV36" s="170"/>
      <c r="AW36" s="170"/>
      <c r="AX36" s="165" t="s">
        <v>1671</v>
      </c>
      <c r="AY36" s="135" t="s">
        <v>421</v>
      </c>
      <c r="AZ36" s="206">
        <f>VLOOKUP(AY36,'Tarieven ZIN prestaties'!$B$1:$D$84,2,FALSE)</f>
        <v>144.87</v>
      </c>
      <c r="BA36" s="207"/>
      <c r="BD36" s="181" t="s">
        <v>1207</v>
      </c>
      <c r="BE36" s="209">
        <v>854</v>
      </c>
      <c r="BF36" s="182" t="s">
        <v>1278</v>
      </c>
      <c r="BG36" s="210">
        <f>VLOOKUP(BD36,'PGB tarieven'!$A$7:$M$53,13,FALSE)</f>
        <v>113064</v>
      </c>
      <c r="BH36" s="211">
        <f t="shared" si="5"/>
        <v>2168.3506849315072</v>
      </c>
      <c r="BI36" s="193"/>
      <c r="BJ36" s="193"/>
      <c r="BK36" s="212" t="s">
        <v>1203</v>
      </c>
      <c r="BL36" s="175">
        <f>VLOOKUP(BK36,'Ruimte behandeling basis MPT'!$A$2:$H$41,8,FALSE)</f>
        <v>355.96629627503955</v>
      </c>
      <c r="BR36" s="135">
        <v>88</v>
      </c>
      <c r="BS36" s="135" t="s">
        <v>1814</v>
      </c>
      <c r="CA36" s="214"/>
      <c r="CB36" s="214"/>
      <c r="CC36" s="214"/>
      <c r="CD36" s="214"/>
      <c r="CE36" s="214"/>
      <c r="CF36" s="214"/>
      <c r="CG36" s="263">
        <f>CG34-CG35</f>
        <v>0</v>
      </c>
      <c r="CH36" s="214"/>
      <c r="CI36" s="181" t="s">
        <v>1207</v>
      </c>
      <c r="CJ36" s="209" t="s">
        <v>1633</v>
      </c>
      <c r="CK36" s="215" t="s">
        <v>1244</v>
      </c>
      <c r="CL36" s="230" t="s">
        <v>1209</v>
      </c>
      <c r="CM36" s="231">
        <v>840</v>
      </c>
      <c r="CN36" s="232">
        <v>4491</v>
      </c>
      <c r="CO36" s="232">
        <f t="shared" si="8"/>
        <v>86.365384615384613</v>
      </c>
      <c r="CP36" s="231">
        <v>0</v>
      </c>
      <c r="CQ36" s="232">
        <f t="shared" si="9"/>
        <v>0</v>
      </c>
      <c r="CR36" s="232">
        <v>10907</v>
      </c>
      <c r="CS36" s="232">
        <f t="shared" si="10"/>
        <v>209.75</v>
      </c>
      <c r="CT36" s="232">
        <v>16170</v>
      </c>
      <c r="CU36" s="232">
        <f t="shared" si="11"/>
        <v>310.96153846153845</v>
      </c>
      <c r="CV36" s="232">
        <v>3357</v>
      </c>
      <c r="CW36" s="232">
        <v>34925</v>
      </c>
      <c r="CX36" s="233">
        <v>31568</v>
      </c>
      <c r="DP36" s="142"/>
      <c r="DQ36" s="142" t="s">
        <v>1767</v>
      </c>
      <c r="DR36" s="142" t="s">
        <v>2675</v>
      </c>
      <c r="DS36" s="142" t="s">
        <v>2688</v>
      </c>
      <c r="DU36" s="181" t="s">
        <v>1263</v>
      </c>
      <c r="DV36" s="182" t="s">
        <v>1148</v>
      </c>
      <c r="DW36" s="135" t="s">
        <v>1598</v>
      </c>
      <c r="DX36" s="200">
        <f t="shared" si="13"/>
        <v>8.75</v>
      </c>
      <c r="DY36" s="135">
        <v>7</v>
      </c>
      <c r="EO36" s="142" t="str">
        <f t="shared" si="27"/>
        <v/>
      </c>
      <c r="EP36" s="135">
        <f t="shared" si="22"/>
        <v>0</v>
      </c>
      <c r="ET36" s="135" t="s">
        <v>2849</v>
      </c>
      <c r="EU36" s="135" t="s">
        <v>2939</v>
      </c>
      <c r="EY36" s="135" t="s">
        <v>2681</v>
      </c>
      <c r="EZ36" s="135" t="s">
        <v>2909</v>
      </c>
      <c r="FA36" s="135" t="s">
        <v>3360</v>
      </c>
      <c r="FB36" s="135" t="str">
        <f t="shared" si="7"/>
        <v>4zgaudOpname</v>
      </c>
      <c r="FC36" s="156">
        <f>VLOOKUP(EZ36,'Tarieven ZZP'!$D$6:$J$134,7,FALSE)</f>
        <v>295.83</v>
      </c>
      <c r="FD36" s="156">
        <f t="shared" si="1"/>
        <v>2070.81</v>
      </c>
      <c r="FI36" s="181" t="s">
        <v>1216</v>
      </c>
      <c r="FJ36" s="135">
        <v>2</v>
      </c>
    </row>
    <row r="37" spans="1:166" ht="21.6" thickBot="1" x14ac:dyDescent="0.45">
      <c r="B37" s="350" t="s">
        <v>1815</v>
      </c>
      <c r="C37" s="351"/>
      <c r="D37" s="351"/>
      <c r="E37" s="351"/>
      <c r="F37" s="351"/>
      <c r="G37" s="351"/>
      <c r="H37" s="351"/>
      <c r="I37" s="353"/>
      <c r="L37" s="475" t="str">
        <f t="shared" ca="1" si="28"/>
        <v xml:space="preserve"> </v>
      </c>
      <c r="M37" s="476"/>
      <c r="N37" s="288">
        <f t="shared" ca="1" si="21"/>
        <v>0</v>
      </c>
      <c r="O37" s="393"/>
      <c r="P37" s="394"/>
      <c r="Q37" s="394"/>
      <c r="R37" s="394"/>
      <c r="S37" s="294"/>
      <c r="T37" s="264"/>
      <c r="U37" s="262">
        <f t="shared" si="23"/>
        <v>0</v>
      </c>
      <c r="V37" s="133">
        <f t="shared" si="24"/>
        <v>0</v>
      </c>
      <c r="W37" s="142">
        <f t="shared" si="25"/>
        <v>0</v>
      </c>
      <c r="X37" s="135">
        <f t="shared" si="26"/>
        <v>0</v>
      </c>
      <c r="AB37" s="155">
        <f ca="1">IF(SUM($I$32:$I$33)-($M$10+$T$19)&lt;=0,SUM($I$32:$I$33),$M$10+$T$19)</f>
        <v>0</v>
      </c>
      <c r="AC37" s="150"/>
      <c r="AD37" s="150"/>
      <c r="AE37" s="142" t="s">
        <v>1768</v>
      </c>
      <c r="AF37" s="143"/>
      <c r="AG37" s="150"/>
      <c r="AH37" s="150"/>
      <c r="AI37" s="150"/>
      <c r="AJ37" s="135" t="s">
        <v>2833</v>
      </c>
      <c r="AK37" s="135" t="s">
        <v>2793</v>
      </c>
      <c r="AL37" s="151"/>
      <c r="AM37" s="151"/>
      <c r="AN37" s="170">
        <v>8</v>
      </c>
      <c r="AO37" s="170" t="s">
        <v>1549</v>
      </c>
      <c r="AP37" s="170"/>
      <c r="AQ37" s="170"/>
      <c r="AR37" s="170"/>
      <c r="AS37" s="170"/>
      <c r="AT37" s="170"/>
      <c r="AU37" s="170"/>
      <c r="AV37" s="170"/>
      <c r="AW37" s="170"/>
      <c r="AX37" s="165" t="s">
        <v>1672</v>
      </c>
      <c r="AY37" s="135" t="s">
        <v>423</v>
      </c>
      <c r="AZ37" s="206">
        <f>VLOOKUP(AY37,'Tarieven ZIN prestaties'!$B$1:$D$84,2,FALSE)</f>
        <v>128.44</v>
      </c>
      <c r="BA37" s="207"/>
      <c r="BD37" s="181" t="s">
        <v>1208</v>
      </c>
      <c r="BE37" s="209">
        <v>856</v>
      </c>
      <c r="BF37" s="182" t="s">
        <v>1278</v>
      </c>
      <c r="BG37" s="210">
        <f>VLOOKUP(BD37,'PGB tarieven'!$A$7:$M$53,13,FALSE)</f>
        <v>71931</v>
      </c>
      <c r="BH37" s="211">
        <f t="shared" si="5"/>
        <v>1379.4986301369863</v>
      </c>
      <c r="BI37" s="193"/>
      <c r="BJ37" s="193"/>
      <c r="BK37" s="212" t="s">
        <v>1204</v>
      </c>
      <c r="BL37" s="175">
        <f>VLOOKUP(BK37,'Ruimte behandeling basis MPT'!$A$2:$H$41,8,FALSE)</f>
        <v>380.26058352893313</v>
      </c>
      <c r="BR37" s="135">
        <v>101</v>
      </c>
      <c r="BS37" s="135" t="s">
        <v>1819</v>
      </c>
      <c r="CA37" s="214"/>
      <c r="CB37" s="214"/>
      <c r="CC37" s="214"/>
      <c r="CD37" s="214"/>
      <c r="CE37" s="214"/>
      <c r="CF37" s="214"/>
      <c r="CG37" s="214"/>
      <c r="CH37" s="214"/>
      <c r="CI37" s="181" t="s">
        <v>1208</v>
      </c>
      <c r="CJ37" s="209" t="s">
        <v>1633</v>
      </c>
      <c r="CK37" s="215" t="s">
        <v>1244</v>
      </c>
      <c r="CL37" s="235" t="s">
        <v>1210</v>
      </c>
      <c r="CM37" s="236">
        <v>842</v>
      </c>
      <c r="CN37" s="237">
        <v>4491</v>
      </c>
      <c r="CO37" s="232">
        <f t="shared" si="8"/>
        <v>86.365384615384613</v>
      </c>
      <c r="CP37" s="236">
        <v>0</v>
      </c>
      <c r="CQ37" s="232">
        <f t="shared" si="9"/>
        <v>0</v>
      </c>
      <c r="CR37" s="237">
        <v>22788</v>
      </c>
      <c r="CS37" s="232">
        <f t="shared" si="10"/>
        <v>438.23076923076923</v>
      </c>
      <c r="CT37" s="237">
        <v>13721</v>
      </c>
      <c r="CU37" s="232">
        <f t="shared" si="11"/>
        <v>263.86538461538464</v>
      </c>
      <c r="CV37" s="237">
        <v>3357</v>
      </c>
      <c r="CW37" s="237">
        <v>44357</v>
      </c>
      <c r="CX37" s="233">
        <v>41000</v>
      </c>
      <c r="DP37" s="142"/>
      <c r="DQ37" s="142" t="s">
        <v>1768</v>
      </c>
      <c r="DR37" s="142" t="s">
        <v>2676</v>
      </c>
      <c r="DS37" s="142" t="s">
        <v>2688</v>
      </c>
      <c r="DU37" s="181" t="s">
        <v>1265</v>
      </c>
      <c r="DV37" s="182" t="s">
        <v>1148</v>
      </c>
      <c r="DW37" s="135" t="s">
        <v>1598</v>
      </c>
      <c r="DX37" s="200">
        <f t="shared" si="13"/>
        <v>12.5</v>
      </c>
      <c r="DY37" s="135">
        <v>10</v>
      </c>
      <c r="EO37" s="142" t="str">
        <f t="shared" si="27"/>
        <v/>
      </c>
      <c r="EP37" s="135">
        <f t="shared" si="22"/>
        <v>0</v>
      </c>
      <c r="ET37" s="135" t="s">
        <v>2855</v>
      </c>
      <c r="EU37" s="135" t="s">
        <v>2945</v>
      </c>
      <c r="EY37" s="135" t="s">
        <v>2674</v>
      </c>
      <c r="EZ37" s="135" t="s">
        <v>2912</v>
      </c>
      <c r="FA37" s="135" t="s">
        <v>3360</v>
      </c>
      <c r="FB37" s="135" t="str">
        <f t="shared" si="7"/>
        <v>1zgvisOpname</v>
      </c>
      <c r="FC37" s="156">
        <f>VLOOKUP(EZ37,'Tarieven ZZP'!$D$6:$J$134,7,FALSE)</f>
        <v>159.99</v>
      </c>
      <c r="FD37" s="156">
        <f t="shared" si="1"/>
        <v>1119.93</v>
      </c>
      <c r="FI37" s="181" t="s">
        <v>1217</v>
      </c>
      <c r="FJ37" s="135">
        <v>2</v>
      </c>
    </row>
    <row r="38" spans="1:166" ht="21.6" thickBot="1" x14ac:dyDescent="0.45">
      <c r="B38" s="350" t="s">
        <v>3356</v>
      </c>
      <c r="C38" s="351"/>
      <c r="D38" s="351"/>
      <c r="E38" s="351"/>
      <c r="F38" s="351"/>
      <c r="G38" s="351"/>
      <c r="H38" s="351"/>
      <c r="I38" s="354">
        <f ca="1">IFERROR(VLOOKUP(H74,J71:K75,2,FALSE),0)</f>
        <v>0</v>
      </c>
      <c r="K38" s="330">
        <f ca="1">IFERROR(I38/M6,0)</f>
        <v>0</v>
      </c>
      <c r="L38" s="475" t="str">
        <f t="shared" ca="1" si="28"/>
        <v xml:space="preserve"> </v>
      </c>
      <c r="M38" s="476"/>
      <c r="N38" s="288">
        <f t="shared" ca="1" si="21"/>
        <v>0</v>
      </c>
      <c r="O38" s="393"/>
      <c r="P38" s="394"/>
      <c r="Q38" s="394"/>
      <c r="R38" s="394"/>
      <c r="S38" s="294"/>
      <c r="T38" s="264"/>
      <c r="U38" s="262">
        <f t="shared" si="23"/>
        <v>0</v>
      </c>
      <c r="V38" s="133">
        <f t="shared" si="24"/>
        <v>0</v>
      </c>
      <c r="W38" s="142">
        <f t="shared" si="25"/>
        <v>0</v>
      </c>
      <c r="X38" s="135">
        <f t="shared" si="26"/>
        <v>0</v>
      </c>
      <c r="AB38" s="156">
        <f ca="1">IF(BQ6&gt;0,BQ8+T19,AB37)</f>
        <v>0</v>
      </c>
      <c r="AC38" s="150"/>
      <c r="AD38" s="150"/>
      <c r="AE38" s="142" t="s">
        <v>1769</v>
      </c>
      <c r="AF38" s="143"/>
      <c r="AG38" s="150"/>
      <c r="AH38" s="150"/>
      <c r="AI38" s="150"/>
      <c r="AJ38" s="135" t="s">
        <v>2834</v>
      </c>
      <c r="AK38" s="135" t="s">
        <v>2794</v>
      </c>
      <c r="AL38" s="151"/>
      <c r="AM38" s="151"/>
      <c r="AN38" s="170">
        <v>9</v>
      </c>
      <c r="AO38" s="170" t="s">
        <v>1549</v>
      </c>
      <c r="AP38" s="170"/>
      <c r="AQ38" s="170"/>
      <c r="AR38" s="170"/>
      <c r="AS38" s="170"/>
      <c r="AT38" s="170"/>
      <c r="AU38" s="170"/>
      <c r="AV38" s="170"/>
      <c r="AW38" s="170"/>
      <c r="AX38" s="165" t="s">
        <v>1664</v>
      </c>
      <c r="AY38" s="135" t="s">
        <v>431</v>
      </c>
      <c r="AZ38" s="206">
        <f>VLOOKUP(AY38,'Tarieven ZIN prestaties'!$B$1:$D$84,2,FALSE)</f>
        <v>115.32</v>
      </c>
      <c r="BA38" s="207"/>
      <c r="BD38" s="181" t="s">
        <v>1223</v>
      </c>
      <c r="BE38" s="209">
        <v>759</v>
      </c>
      <c r="BF38" s="182" t="s">
        <v>1244</v>
      </c>
      <c r="BG38" s="210">
        <f>VLOOKUP(BD38,'PGB tarieven'!$A$7:$M$53,13,FALSE)</f>
        <v>83631</v>
      </c>
      <c r="BH38" s="211">
        <f t="shared" si="5"/>
        <v>1603.882191780822</v>
      </c>
      <c r="BI38" s="193"/>
      <c r="BJ38" s="193"/>
      <c r="BK38" s="212" t="s">
        <v>1205</v>
      </c>
      <c r="BL38" s="175">
        <f>VLOOKUP(BK38,'Ruimte behandeling basis MPT'!$A$2:$H$41,8,FALSE)</f>
        <v>0</v>
      </c>
      <c r="BR38" s="135">
        <v>102</v>
      </c>
      <c r="BS38" s="135" t="s">
        <v>1819</v>
      </c>
      <c r="CA38" s="214"/>
      <c r="CB38" s="214"/>
      <c r="CC38" s="214"/>
      <c r="CD38" s="214"/>
      <c r="CE38" s="214"/>
      <c r="CF38" s="214"/>
      <c r="CG38" s="214"/>
      <c r="CH38" s="214"/>
      <c r="CI38" s="181" t="s">
        <v>1214</v>
      </c>
      <c r="CJ38" s="209" t="s">
        <v>1634</v>
      </c>
      <c r="CK38" s="215" t="s">
        <v>1244</v>
      </c>
      <c r="CL38" s="230" t="s">
        <v>1211</v>
      </c>
      <c r="CM38" s="231">
        <v>844</v>
      </c>
      <c r="CN38" s="232">
        <v>8220</v>
      </c>
      <c r="CO38" s="232">
        <f t="shared" si="8"/>
        <v>158.07692307692307</v>
      </c>
      <c r="CP38" s="232">
        <v>3845</v>
      </c>
      <c r="CQ38" s="232">
        <f t="shared" si="9"/>
        <v>73.942307692307693</v>
      </c>
      <c r="CR38" s="232">
        <v>22788</v>
      </c>
      <c r="CS38" s="232">
        <f t="shared" si="10"/>
        <v>438.23076923076923</v>
      </c>
      <c r="CT38" s="232">
        <v>13721</v>
      </c>
      <c r="CU38" s="232">
        <f t="shared" si="11"/>
        <v>263.86538461538464</v>
      </c>
      <c r="CV38" s="232">
        <v>3357</v>
      </c>
      <c r="CW38" s="232">
        <v>51931</v>
      </c>
      <c r="CX38" s="233">
        <v>48574</v>
      </c>
      <c r="DP38" s="142"/>
      <c r="DQ38" s="142" t="s">
        <v>1769</v>
      </c>
      <c r="DR38" s="142" t="s">
        <v>2677</v>
      </c>
      <c r="DS38" s="142" t="s">
        <v>2690</v>
      </c>
      <c r="DU38" s="181" t="s">
        <v>1266</v>
      </c>
      <c r="DV38" s="182" t="s">
        <v>1148</v>
      </c>
      <c r="DW38" s="135" t="s">
        <v>1598</v>
      </c>
      <c r="DX38" s="200">
        <f t="shared" si="13"/>
        <v>16.25</v>
      </c>
      <c r="DY38" s="135">
        <v>13</v>
      </c>
      <c r="EO38" s="142" t="str">
        <f t="shared" si="27"/>
        <v/>
      </c>
      <c r="EP38" s="135">
        <f t="shared" si="22"/>
        <v>0</v>
      </c>
      <c r="ET38" s="135" t="s">
        <v>2861</v>
      </c>
      <c r="EU38" s="135" t="s">
        <v>2951</v>
      </c>
      <c r="EY38" s="135" t="s">
        <v>2675</v>
      </c>
      <c r="EZ38" s="135" t="s">
        <v>2913</v>
      </c>
      <c r="FA38" s="135" t="s">
        <v>3360</v>
      </c>
      <c r="FB38" s="135" t="str">
        <f t="shared" si="7"/>
        <v>2zgvisOpname</v>
      </c>
      <c r="FC38" s="156">
        <f>VLOOKUP(EZ38,'Tarieven ZZP'!$D$6:$J$134,7,FALSE)</f>
        <v>190.36</v>
      </c>
      <c r="FD38" s="156">
        <f t="shared" si="1"/>
        <v>1332.52</v>
      </c>
      <c r="FI38" s="181" t="s">
        <v>1218</v>
      </c>
      <c r="FJ38" s="135">
        <v>2</v>
      </c>
    </row>
    <row r="39" spans="1:166" ht="21.6" thickBot="1" x14ac:dyDescent="0.45">
      <c r="B39" s="350" t="s">
        <v>3357</v>
      </c>
      <c r="C39" s="351"/>
      <c r="D39" s="351"/>
      <c r="E39" s="351"/>
      <c r="F39" s="351"/>
      <c r="G39" s="351"/>
      <c r="H39" s="351"/>
      <c r="I39" s="354">
        <f>I34</f>
        <v>0</v>
      </c>
      <c r="K39" s="330" t="str">
        <f>K34</f>
        <v xml:space="preserve"> </v>
      </c>
      <c r="L39" s="299"/>
      <c r="M39" s="300"/>
      <c r="N39" s="300"/>
      <c r="O39" s="301"/>
      <c r="P39" s="291"/>
      <c r="Q39" s="291"/>
      <c r="R39" s="291"/>
      <c r="S39" s="291"/>
      <c r="T39" s="264"/>
      <c r="U39" s="262"/>
      <c r="V39" s="133"/>
      <c r="AB39" s="156"/>
      <c r="AC39" s="150"/>
      <c r="AD39" s="150"/>
      <c r="AE39" s="142"/>
      <c r="AF39" s="143"/>
      <c r="AG39" s="150"/>
      <c r="AH39" s="150"/>
      <c r="AI39" s="150"/>
      <c r="AL39" s="151"/>
      <c r="AM39" s="151"/>
      <c r="AN39" s="170"/>
      <c r="AO39" s="170"/>
      <c r="AP39" s="170"/>
      <c r="AQ39" s="170"/>
      <c r="AR39" s="170"/>
      <c r="AS39" s="170"/>
      <c r="AT39" s="170"/>
      <c r="AU39" s="170"/>
      <c r="AV39" s="170"/>
      <c r="AW39" s="170"/>
      <c r="AZ39" s="206"/>
      <c r="BA39" s="207"/>
      <c r="BD39" s="181"/>
      <c r="BE39" s="209"/>
      <c r="BF39" s="182"/>
      <c r="BG39" s="210"/>
      <c r="BH39" s="211"/>
      <c r="BI39" s="193"/>
      <c r="BJ39" s="193"/>
      <c r="BK39" s="212" t="s">
        <v>1206</v>
      </c>
      <c r="BL39" s="175">
        <f>VLOOKUP(BK39,'Ruimte behandeling basis MPT'!$A$2:$H$41,8,FALSE)</f>
        <v>30.345090223212367</v>
      </c>
      <c r="CA39" s="214"/>
      <c r="CB39" s="214"/>
      <c r="CC39" s="214"/>
      <c r="CD39" s="214"/>
      <c r="CE39" s="214"/>
      <c r="CF39" s="214"/>
      <c r="CG39" s="214"/>
      <c r="CH39" s="214"/>
      <c r="CI39" s="181"/>
      <c r="CJ39" s="209"/>
      <c r="CK39" s="215"/>
      <c r="CL39" s="230"/>
      <c r="CM39" s="231"/>
      <c r="CN39" s="232"/>
      <c r="CO39" s="232"/>
      <c r="CP39" s="232"/>
      <c r="CQ39" s="232"/>
      <c r="CR39" s="232"/>
      <c r="CS39" s="232"/>
      <c r="CT39" s="232"/>
      <c r="CU39" s="232"/>
      <c r="CV39" s="232"/>
      <c r="CW39" s="232"/>
      <c r="CX39" s="233"/>
      <c r="DP39" s="142"/>
      <c r="DQ39" s="142"/>
      <c r="DR39" s="142"/>
      <c r="DS39" s="142"/>
      <c r="DU39" s="181"/>
      <c r="DV39" s="182"/>
      <c r="DX39" s="200"/>
      <c r="EO39" s="142" t="str">
        <f t="shared" si="27"/>
        <v/>
      </c>
      <c r="FC39" s="156" t="e">
        <f>VLOOKUP(EZ39,'Tarieven ZZP'!$D$6:$J$134,7,FALSE)</f>
        <v>#N/A</v>
      </c>
      <c r="FD39" s="156"/>
      <c r="FI39" s="181"/>
    </row>
    <row r="40" spans="1:166" ht="21.6" thickBot="1" x14ac:dyDescent="0.45">
      <c r="B40" s="350" t="str">
        <f>IF(M5="extramurale ruimte","EKT:"," ")</f>
        <v>EKT:</v>
      </c>
      <c r="C40" s="351"/>
      <c r="D40" s="473">
        <f>Z32</f>
        <v>0</v>
      </c>
      <c r="E40" s="473"/>
      <c r="F40" s="473"/>
      <c r="G40" s="351"/>
      <c r="H40" s="351"/>
      <c r="I40" s="353">
        <f>IFERROR(VLOOKUP($Q$22,$T$46:$Z$50,6,FALSE),0)</f>
        <v>0</v>
      </c>
      <c r="K40" s="330">
        <f>IFERROR(I40/M6,0)</f>
        <v>0</v>
      </c>
      <c r="L40" s="291"/>
      <c r="M40" s="291"/>
      <c r="N40" s="291"/>
      <c r="O40" s="291"/>
      <c r="P40" s="291"/>
      <c r="Q40" s="291"/>
      <c r="R40" s="291"/>
      <c r="S40" s="291"/>
      <c r="T40" s="264"/>
      <c r="U40" s="262">
        <f>IF($B28="schoonmaak",$AZ$1,IF($B28="Logeren",X40,$V40))</f>
        <v>0</v>
      </c>
      <c r="V40" s="133">
        <f>IFERROR(VLOOKUP(LEFT(D28,4),$AY$7:$AZ$584,2,FALSE)*$H$1+IF($B28="Logeren",VLOOKUP(LEFT(D28,5),$AY$7:$BA$602,3,FALSE),0),0)</f>
        <v>0</v>
      </c>
      <c r="W40" s="135">
        <f>IFERROR(VLOOKUP(D28,$AX$119:$BA$370,3),0)</f>
        <v>0</v>
      </c>
      <c r="X40" s="135">
        <f t="shared" si="26"/>
        <v>0</v>
      </c>
      <c r="AC40" s="150"/>
      <c r="AD40" s="150"/>
      <c r="AE40" s="150"/>
      <c r="AF40" s="150"/>
      <c r="AG40" s="150"/>
      <c r="AH40" s="150"/>
      <c r="AI40" s="150"/>
      <c r="AJ40" s="135" t="s">
        <v>2835</v>
      </c>
      <c r="AK40" s="135" t="s">
        <v>2795</v>
      </c>
      <c r="AL40" s="151"/>
      <c r="AM40" s="151"/>
      <c r="AN40" s="170">
        <v>10</v>
      </c>
      <c r="AO40" s="170" t="s">
        <v>1550</v>
      </c>
      <c r="AP40" s="170"/>
      <c r="AQ40" s="170"/>
      <c r="AR40" s="170"/>
      <c r="AS40" s="170"/>
      <c r="AT40" s="170"/>
      <c r="AU40" s="170"/>
      <c r="AV40" s="170"/>
      <c r="AW40" s="170"/>
      <c r="AX40" s="165" t="s">
        <v>1739</v>
      </c>
      <c r="AY40" s="135" t="s">
        <v>1733</v>
      </c>
      <c r="AZ40" s="206">
        <f>VLOOKUP(AY40,'Tarieven ZIN prestaties'!$B$1:$D$84,2,FALSE)</f>
        <v>157.27000000000001</v>
      </c>
      <c r="BA40" s="207"/>
      <c r="BD40" s="181" t="s">
        <v>1214</v>
      </c>
      <c r="BE40" s="209">
        <v>750</v>
      </c>
      <c r="BF40" s="182" t="s">
        <v>1244</v>
      </c>
      <c r="BG40" s="210">
        <f>VLOOKUP(BD40,'PGB tarieven'!$A$7:$M$53,13,FALSE)</f>
        <v>16003</v>
      </c>
      <c r="BH40" s="211">
        <f t="shared" si="5"/>
        <v>306.90684931506848</v>
      </c>
      <c r="BI40" s="193"/>
      <c r="BJ40" s="193"/>
      <c r="BK40" s="212" t="s">
        <v>1207</v>
      </c>
      <c r="BL40" s="175">
        <f>VLOOKUP(BK40,'Ruimte behandeling basis MPT'!$A$2:$H$41,8,FALSE)</f>
        <v>43.999528961425085</v>
      </c>
      <c r="BR40" s="135">
        <v>103</v>
      </c>
      <c r="BS40" s="135" t="s">
        <v>1819</v>
      </c>
      <c r="CA40" s="214"/>
      <c r="CB40" s="214"/>
      <c r="CC40" s="214"/>
      <c r="CD40" s="214"/>
      <c r="CE40" s="214"/>
      <c r="CF40" s="214"/>
      <c r="CG40" s="214"/>
      <c r="CH40" s="214"/>
      <c r="CI40" s="181" t="s">
        <v>1215</v>
      </c>
      <c r="CJ40" s="209" t="s">
        <v>1634</v>
      </c>
      <c r="CK40" s="215" t="s">
        <v>1244</v>
      </c>
      <c r="CL40" s="235" t="s">
        <v>1212</v>
      </c>
      <c r="CM40" s="236">
        <v>846</v>
      </c>
      <c r="CN40" s="237">
        <v>21667</v>
      </c>
      <c r="CO40" s="232">
        <f t="shared" si="8"/>
        <v>416.67307692307691</v>
      </c>
      <c r="CP40" s="237">
        <v>3845</v>
      </c>
      <c r="CQ40" s="232">
        <f t="shared" si="9"/>
        <v>73.942307692307693</v>
      </c>
      <c r="CR40" s="237">
        <v>22788</v>
      </c>
      <c r="CS40" s="232">
        <f t="shared" si="10"/>
        <v>438.23076923076923</v>
      </c>
      <c r="CT40" s="237">
        <v>18622</v>
      </c>
      <c r="CU40" s="232">
        <f t="shared" si="11"/>
        <v>358.11538461538464</v>
      </c>
      <c r="CV40" s="237">
        <v>3357</v>
      </c>
      <c r="CW40" s="237">
        <v>70279</v>
      </c>
      <c r="CX40" s="233">
        <v>66922</v>
      </c>
      <c r="DR40" s="142" t="s">
        <v>2678</v>
      </c>
      <c r="DS40" s="142" t="s">
        <v>2690</v>
      </c>
      <c r="DU40" s="181" t="s">
        <v>1267</v>
      </c>
      <c r="DV40" s="182" t="s">
        <v>1148</v>
      </c>
      <c r="DW40" s="135" t="s">
        <v>1598</v>
      </c>
      <c r="DX40" s="200">
        <f t="shared" si="13"/>
        <v>19.375</v>
      </c>
      <c r="DY40" s="135">
        <v>15.5</v>
      </c>
      <c r="EO40" s="142"/>
      <c r="EP40" s="135">
        <f>IF(OR(B29="verblijfsprestatie",B29="vptprestatie"),1,0)</f>
        <v>0</v>
      </c>
      <c r="ET40" s="135" t="s">
        <v>2844</v>
      </c>
      <c r="EU40" s="135" t="s">
        <v>2780</v>
      </c>
      <c r="EY40" s="135" t="s">
        <v>2676</v>
      </c>
      <c r="EZ40" s="135" t="s">
        <v>2923</v>
      </c>
      <c r="FA40" s="135" t="s">
        <v>3360</v>
      </c>
      <c r="FB40" s="135" t="str">
        <f t="shared" si="7"/>
        <v>3zgvisOpname</v>
      </c>
      <c r="FC40" s="156">
        <f>VLOOKUP(EZ40,'Tarieven ZZP'!$D$6:$J$134,7,FALSE)</f>
        <v>240.9</v>
      </c>
      <c r="FD40" s="156">
        <f t="shared" si="1"/>
        <v>1686.3</v>
      </c>
      <c r="FI40" s="181" t="s">
        <v>1219</v>
      </c>
      <c r="FJ40" s="135">
        <v>2</v>
      </c>
    </row>
    <row r="41" spans="1:166" ht="21.6" thickBot="1" x14ac:dyDescent="0.45">
      <c r="B41" s="350" t="s">
        <v>3353</v>
      </c>
      <c r="C41" s="351"/>
      <c r="D41" s="355"/>
      <c r="E41" s="355"/>
      <c r="F41" s="355"/>
      <c r="G41" s="351"/>
      <c r="H41" s="351"/>
      <c r="I41" s="353">
        <f ca="1">IFERROR(IF(H74=8,0,(IF(AND(I33&gt;0,I33&gt;M15),M15,N67))),0)</f>
        <v>0</v>
      </c>
      <c r="K41" s="330">
        <f ca="1">IFERROR(I41/M6,0)</f>
        <v>0</v>
      </c>
      <c r="L41" s="474" t="s">
        <v>2757</v>
      </c>
      <c r="M41" s="474"/>
      <c r="N41" s="331">
        <f ca="1">D46/7</f>
        <v>0</v>
      </c>
      <c r="O41" s="291"/>
      <c r="P41" s="291"/>
      <c r="Q41" s="291"/>
      <c r="R41" s="291"/>
      <c r="S41" s="291"/>
      <c r="T41" s="264"/>
      <c r="U41" s="262">
        <f>IF($B29="schoonmaak",$AZ$1,IF($B29="Logeren",X41,$V41))</f>
        <v>0</v>
      </c>
      <c r="V41" s="133">
        <f>IFERROR(VLOOKUP(LEFT(D29,4),$AY$7:$AZ$584,2,FALSE)*$H$1+IF($B29="Logeren",VLOOKUP(LEFT(D29,5),$AY$7:$BA$602,3,FALSE),0),0)</f>
        <v>0</v>
      </c>
      <c r="W41" s="135">
        <f>IFERROR(VLOOKUP(D29,$AX$119:$BA$370,3),0)</f>
        <v>0</v>
      </c>
      <c r="X41" s="135">
        <f t="shared" si="26"/>
        <v>0</v>
      </c>
      <c r="AC41" s="150"/>
      <c r="AD41" s="150"/>
      <c r="AE41" s="150"/>
      <c r="AF41" s="150"/>
      <c r="AG41" s="150"/>
      <c r="AH41" s="150"/>
      <c r="AI41" s="150"/>
      <c r="AJ41" s="135" t="s">
        <v>2836</v>
      </c>
      <c r="AK41" s="135" t="s">
        <v>2798</v>
      </c>
      <c r="AL41" s="151"/>
      <c r="AM41" s="151"/>
      <c r="AN41" s="170">
        <v>11</v>
      </c>
      <c r="AO41" s="170" t="s">
        <v>1550</v>
      </c>
      <c r="AP41" s="170"/>
      <c r="AQ41" s="170"/>
      <c r="AR41" s="170"/>
      <c r="AS41" s="170"/>
      <c r="AT41" s="170"/>
      <c r="AU41" s="170"/>
      <c r="AV41" s="170"/>
      <c r="AW41" s="170"/>
      <c r="AX41" s="165" t="s">
        <v>1740</v>
      </c>
      <c r="AY41" s="135" t="s">
        <v>1734</v>
      </c>
      <c r="AZ41" s="206">
        <f>VLOOKUP(AY41,'Tarieven ZIN prestaties'!$B$1:$D$84,2,FALSE)</f>
        <v>157.27000000000001</v>
      </c>
      <c r="BA41" s="207"/>
      <c r="BD41" s="181" t="s">
        <v>1215</v>
      </c>
      <c r="BE41" s="209">
        <v>751</v>
      </c>
      <c r="BF41" s="182" t="s">
        <v>1244</v>
      </c>
      <c r="BG41" s="210">
        <f>VLOOKUP(BD41,'PGB tarieven'!$A$7:$M$53,13,FALSE)</f>
        <v>23205</v>
      </c>
      <c r="BH41" s="211">
        <f t="shared" si="5"/>
        <v>445.02739726027397</v>
      </c>
      <c r="BI41" s="193"/>
      <c r="BJ41" s="193"/>
      <c r="BK41" s="212" t="s">
        <v>1208</v>
      </c>
      <c r="BL41" s="175">
        <f>VLOOKUP(BK41,'Ruimte behandeling basis MPT'!$A$2:$H$41,8,FALSE)</f>
        <v>163.24000000000015</v>
      </c>
      <c r="BR41" s="135">
        <v>104</v>
      </c>
      <c r="BS41" s="135" t="s">
        <v>1819</v>
      </c>
      <c r="CA41" s="214"/>
      <c r="CB41" s="214"/>
      <c r="CC41" s="214"/>
      <c r="CD41" s="214"/>
      <c r="CE41" s="214"/>
      <c r="CF41" s="214"/>
      <c r="CG41" s="214"/>
      <c r="CH41" s="214"/>
      <c r="CI41" s="181" t="s">
        <v>1216</v>
      </c>
      <c r="CJ41" s="209" t="s">
        <v>1634</v>
      </c>
      <c r="CK41" s="215" t="s">
        <v>1244</v>
      </c>
      <c r="CL41" s="230" t="s">
        <v>1213</v>
      </c>
      <c r="CM41" s="231">
        <v>848</v>
      </c>
      <c r="CN41" s="232">
        <v>21667</v>
      </c>
      <c r="CO41" s="232">
        <f t="shared" si="8"/>
        <v>416.67307692307691</v>
      </c>
      <c r="CP41" s="232">
        <v>3845</v>
      </c>
      <c r="CQ41" s="232">
        <f t="shared" si="9"/>
        <v>73.942307692307693</v>
      </c>
      <c r="CR41" s="232">
        <v>28748</v>
      </c>
      <c r="CS41" s="232">
        <f t="shared" si="10"/>
        <v>552.84615384615381</v>
      </c>
      <c r="CT41" s="232">
        <v>18622</v>
      </c>
      <c r="CU41" s="232">
        <f t="shared" si="11"/>
        <v>358.11538461538464</v>
      </c>
      <c r="CV41" s="232">
        <v>3357</v>
      </c>
      <c r="CW41" s="232">
        <v>76239</v>
      </c>
      <c r="CX41" s="233">
        <v>72882</v>
      </c>
      <c r="DR41" s="142" t="s">
        <v>2679</v>
      </c>
      <c r="DS41" s="142" t="s">
        <v>2688</v>
      </c>
      <c r="DU41" s="181" t="s">
        <v>1268</v>
      </c>
      <c r="DV41" s="182" t="s">
        <v>1148</v>
      </c>
      <c r="DW41" s="135" t="s">
        <v>1598</v>
      </c>
      <c r="DX41" s="200">
        <f t="shared" si="13"/>
        <v>20</v>
      </c>
      <c r="DY41" s="135">
        <v>16</v>
      </c>
      <c r="EO41" s="142" t="str">
        <f>CONCATENATE($F$5,$G$8,B27)</f>
        <v/>
      </c>
      <c r="EP41" s="135">
        <f>IF(OR(B30="verblijfsprestatie",B30="vptprestatie"),1,0)</f>
        <v>0</v>
      </c>
      <c r="ET41" s="135" t="s">
        <v>2850</v>
      </c>
      <c r="EU41" s="135" t="s">
        <v>2940</v>
      </c>
      <c r="EY41" s="135" t="s">
        <v>2677</v>
      </c>
      <c r="EZ41" s="135" t="s">
        <v>2924</v>
      </c>
      <c r="FA41" s="135" t="s">
        <v>3360</v>
      </c>
      <c r="FB41" s="135" t="str">
        <f t="shared" si="7"/>
        <v>4zgvisOpname</v>
      </c>
      <c r="FC41" s="156">
        <f>VLOOKUP(EZ41,'Tarieven ZZP'!$D$6:$J$134,7,FALSE)</f>
        <v>302.12</v>
      </c>
      <c r="FD41" s="156">
        <f t="shared" si="1"/>
        <v>2114.84</v>
      </c>
      <c r="FI41" s="181" t="s">
        <v>1220</v>
      </c>
      <c r="FJ41" s="135">
        <v>2</v>
      </c>
    </row>
    <row r="42" spans="1:166" ht="21.6" thickBot="1" x14ac:dyDescent="0.45">
      <c r="B42" s="350" t="s">
        <v>1811</v>
      </c>
      <c r="C42" s="351"/>
      <c r="D42" s="473">
        <f>IF(M5="extramurale ruimte",Z35," ")</f>
        <v>0</v>
      </c>
      <c r="E42" s="473"/>
      <c r="F42" s="473"/>
      <c r="G42" s="351"/>
      <c r="H42" s="351"/>
      <c r="I42" s="353">
        <f ca="1">IF(SUM(I38:I41)-I35=0,0,R46)</f>
        <v>0</v>
      </c>
      <c r="K42" s="330">
        <f ca="1">IFERROR(I42/M6,0)</f>
        <v>0</v>
      </c>
      <c r="L42" s="474" t="s">
        <v>3520</v>
      </c>
      <c r="M42" s="474"/>
      <c r="N42" s="331">
        <f ca="1">N41*7</f>
        <v>0</v>
      </c>
      <c r="O42" s="291"/>
      <c r="P42" s="291"/>
      <c r="Q42" s="291"/>
      <c r="R42" s="291"/>
      <c r="S42" s="291"/>
      <c r="T42" s="264"/>
      <c r="U42" s="262">
        <f>IF($B30="schoonmaak",$AZ$1,IF($B30="Logeren",X42,$V42))</f>
        <v>0</v>
      </c>
      <c r="V42" s="133">
        <f>IFERROR(VLOOKUP(LEFT(D30,4),$AY$7:$AZ$584,2,FALSE)*$H$1+IF($B30="Logeren",VLOOKUP(LEFT(D30,5),$AY$7:$BA$602,3,FALSE),0),0)</f>
        <v>0</v>
      </c>
      <c r="W42" s="135">
        <f>IFERROR(VLOOKUP(D30,$AX$119:$BA$370,3),0)</f>
        <v>0</v>
      </c>
      <c r="X42" s="135">
        <f t="shared" si="26"/>
        <v>0</v>
      </c>
      <c r="AC42" s="150"/>
      <c r="AD42" s="150"/>
      <c r="AE42" s="150"/>
      <c r="AF42" s="150"/>
      <c r="AG42" s="150"/>
      <c r="AH42" s="150"/>
      <c r="AI42" s="150"/>
      <c r="AJ42" s="135" t="s">
        <v>2837</v>
      </c>
      <c r="AK42" s="135" t="s">
        <v>2797</v>
      </c>
      <c r="AL42" s="151"/>
      <c r="AM42" s="151"/>
      <c r="AN42" s="170">
        <v>12</v>
      </c>
      <c r="AO42" s="170" t="s">
        <v>1550</v>
      </c>
      <c r="AP42" s="170"/>
      <c r="AQ42" s="170"/>
      <c r="AR42" s="170"/>
      <c r="AS42" s="170"/>
      <c r="AT42" s="170"/>
      <c r="AU42" s="170"/>
      <c r="AV42" s="170"/>
      <c r="AW42" s="170"/>
      <c r="AX42" s="265" t="s">
        <v>2646</v>
      </c>
      <c r="AY42" s="193" t="s">
        <v>1847</v>
      </c>
      <c r="AZ42" s="206">
        <f>VLOOKUP(AY42,'Tarieven ZIN prestaties'!$B$1:$D$84,2,FALSE)</f>
        <v>23.99</v>
      </c>
      <c r="BA42" s="207"/>
      <c r="BD42" s="181" t="s">
        <v>1216</v>
      </c>
      <c r="BE42" s="209">
        <v>752</v>
      </c>
      <c r="BF42" s="182" t="s">
        <v>1244</v>
      </c>
      <c r="BG42" s="210">
        <f>VLOOKUP(BD42,'PGB tarieven'!$A$7:$M$53,13,FALSE)</f>
        <v>28247</v>
      </c>
      <c r="BH42" s="211">
        <f t="shared" ref="BH42:BH54" si="29">BG42/365*7</f>
        <v>541.72328767123281</v>
      </c>
      <c r="BI42" s="193"/>
      <c r="BJ42" s="193"/>
      <c r="BK42" s="212" t="s">
        <v>1209</v>
      </c>
      <c r="BL42" s="175">
        <f>VLOOKUP(BK42,'Ruimte behandeling basis MPT'!$A$2:$H$41,8,FALSE)</f>
        <v>0</v>
      </c>
      <c r="BR42" s="135">
        <v>105</v>
      </c>
      <c r="BS42" s="135" t="s">
        <v>1819</v>
      </c>
      <c r="CA42" s="214"/>
      <c r="CB42" s="214"/>
      <c r="CC42" s="214"/>
      <c r="CD42" s="214"/>
      <c r="CE42" s="214"/>
      <c r="CF42" s="214"/>
      <c r="CG42" s="214"/>
      <c r="CH42" s="214"/>
      <c r="CI42" s="181" t="s">
        <v>1217</v>
      </c>
      <c r="CJ42" s="209" t="s">
        <v>1634</v>
      </c>
      <c r="CK42" s="215" t="s">
        <v>1244</v>
      </c>
      <c r="CL42" s="235" t="s">
        <v>1205</v>
      </c>
      <c r="CM42" s="236">
        <v>850</v>
      </c>
      <c r="CN42" s="237">
        <v>1497</v>
      </c>
      <c r="CO42" s="232">
        <f t="shared" si="8"/>
        <v>28.78846153846154</v>
      </c>
      <c r="CP42" s="236">
        <v>0</v>
      </c>
      <c r="CQ42" s="232">
        <f t="shared" si="9"/>
        <v>0</v>
      </c>
      <c r="CR42" s="237">
        <v>22788</v>
      </c>
      <c r="CS42" s="232">
        <f t="shared" si="10"/>
        <v>438.23076923076923</v>
      </c>
      <c r="CT42" s="237">
        <v>21072</v>
      </c>
      <c r="CU42" s="232">
        <f t="shared" si="11"/>
        <v>405.23076923076923</v>
      </c>
      <c r="CV42" s="237">
        <v>3357</v>
      </c>
      <c r="CW42" s="237">
        <v>48714</v>
      </c>
      <c r="CX42" s="233">
        <v>45357</v>
      </c>
      <c r="DR42" s="142" t="s">
        <v>2687</v>
      </c>
      <c r="DS42" s="142" t="s">
        <v>2689</v>
      </c>
      <c r="DU42" s="181" t="s">
        <v>1269</v>
      </c>
      <c r="DV42" s="182" t="s">
        <v>1148</v>
      </c>
      <c r="DW42" s="135" t="s">
        <v>1598</v>
      </c>
      <c r="DX42" s="200">
        <f t="shared" si="13"/>
        <v>28.75</v>
      </c>
      <c r="DY42" s="135">
        <v>23</v>
      </c>
      <c r="EO42" s="142" t="str">
        <f>CONCATENATE($F$5,$G$8,B28)</f>
        <v/>
      </c>
      <c r="EP42" s="135">
        <f>IF(OR(B31="verblijfsprestatie",B31="vptprestatie"),1,0)</f>
        <v>0</v>
      </c>
      <c r="ET42" s="135" t="s">
        <v>2856</v>
      </c>
      <c r="EU42" s="135" t="s">
        <v>2946</v>
      </c>
      <c r="EY42" s="135" t="s">
        <v>2678</v>
      </c>
      <c r="EZ42" s="135" t="s">
        <v>2925</v>
      </c>
      <c r="FA42" s="135" t="s">
        <v>3360</v>
      </c>
      <c r="FB42" s="135" t="str">
        <f t="shared" si="7"/>
        <v>5zgvisOpname</v>
      </c>
      <c r="FC42" s="156">
        <f>VLOOKUP(EZ42,'Tarieven ZZP'!$D$6:$J$134,7,FALSE)</f>
        <v>331.67</v>
      </c>
      <c r="FD42" s="156">
        <f t="shared" si="1"/>
        <v>2321.69</v>
      </c>
      <c r="FI42" s="181" t="s">
        <v>1221</v>
      </c>
      <c r="FJ42" s="135">
        <v>2</v>
      </c>
    </row>
    <row r="43" spans="1:166" ht="21.6" thickBot="1" x14ac:dyDescent="0.45">
      <c r="A43" s="294"/>
      <c r="B43" s="350" t="str">
        <f ca="1">E113</f>
        <v>Overschrijding</v>
      </c>
      <c r="C43" s="351"/>
      <c r="D43" s="351"/>
      <c r="E43" s="351"/>
      <c r="F43" s="351"/>
      <c r="G43" s="351"/>
      <c r="H43" s="351"/>
      <c r="I43" s="353">
        <f ca="1">IF(SUM(I38:I42)-I35=0,0,E114)</f>
        <v>0</v>
      </c>
      <c r="K43" s="330">
        <f ca="1">IFERROR(I43/M6,0)</f>
        <v>0</v>
      </c>
      <c r="L43" s="291"/>
      <c r="M43" s="291"/>
      <c r="N43" s="291"/>
      <c r="O43" s="291"/>
      <c r="P43" s="291"/>
      <c r="Q43" s="291"/>
      <c r="R43" s="291"/>
      <c r="S43" s="291"/>
      <c r="T43" s="264"/>
      <c r="U43" s="262">
        <f>IF($B31="schoonmaak",$AZ$1,IF($B31="Logeren",X43,$V43))</f>
        <v>0</v>
      </c>
      <c r="V43" s="133">
        <f>IFERROR(VLOOKUP(LEFT(D31,4),$AY$7:$AZ$584,2,FALSE)*$H$1+IF($B31="Logeren",VLOOKUP(LEFT(D31,5),$AY$7:$BA$602,3,FALSE),0),0)</f>
        <v>0</v>
      </c>
      <c r="W43" s="135">
        <f>IFERROR(VLOOKUP(D31,$AX$119:$BA$370,3),0)</f>
        <v>0</v>
      </c>
      <c r="X43" s="135">
        <f t="shared" si="26"/>
        <v>0</v>
      </c>
      <c r="AC43" s="150"/>
      <c r="AD43" s="150"/>
      <c r="AE43" s="150"/>
      <c r="AF43" s="150"/>
      <c r="AG43" s="150"/>
      <c r="AH43" s="150"/>
      <c r="AI43" s="150"/>
      <c r="AJ43" s="135" t="s">
        <v>2838</v>
      </c>
      <c r="AK43" s="135" t="s">
        <v>2796</v>
      </c>
      <c r="AL43" s="151"/>
      <c r="AM43" s="151"/>
      <c r="AN43" s="170">
        <v>13</v>
      </c>
      <c r="AO43" s="170" t="s">
        <v>1551</v>
      </c>
      <c r="AP43" s="170"/>
      <c r="AQ43" s="170"/>
      <c r="AR43" s="170"/>
      <c r="AS43" s="170"/>
      <c r="AT43" s="170"/>
      <c r="AU43" s="170"/>
      <c r="AV43" s="170"/>
      <c r="AW43" s="170"/>
      <c r="AX43" s="165" t="s">
        <v>1741</v>
      </c>
      <c r="AY43" s="135" t="s">
        <v>7</v>
      </c>
      <c r="AZ43" s="206">
        <f>VLOOKUP(AY43,'Tarieven ZIN prestaties'!$B$1:$D$84,2,FALSE)</f>
        <v>39.4</v>
      </c>
      <c r="BA43" s="207"/>
      <c r="BD43" s="181" t="s">
        <v>1217</v>
      </c>
      <c r="BE43" s="209">
        <v>753</v>
      </c>
      <c r="BF43" s="182" t="s">
        <v>1244</v>
      </c>
      <c r="BG43" s="210">
        <f>VLOOKUP(BD43,'PGB tarieven'!$A$7:$M$53,13,FALSE)</f>
        <v>37848</v>
      </c>
      <c r="BH43" s="211">
        <f t="shared" si="29"/>
        <v>725.85205479452054</v>
      </c>
      <c r="BI43" s="193"/>
      <c r="BJ43" s="193"/>
      <c r="BK43" s="212" t="s">
        <v>1210</v>
      </c>
      <c r="BL43" s="175">
        <f>VLOOKUP(BK43,'Ruimte behandeling basis MPT'!$A$2:$H$41,8,FALSE)</f>
        <v>0</v>
      </c>
      <c r="BR43" s="135">
        <v>106</v>
      </c>
      <c r="BS43" s="135" t="s">
        <v>1819</v>
      </c>
      <c r="CA43" s="214"/>
      <c r="CB43" s="214"/>
      <c r="CC43" s="214"/>
      <c r="CD43" s="214"/>
      <c r="CE43" s="214"/>
      <c r="CF43" s="214"/>
      <c r="CG43" s="214"/>
      <c r="CH43" s="214"/>
      <c r="CI43" s="181" t="s">
        <v>1218</v>
      </c>
      <c r="CJ43" s="209" t="s">
        <v>1634</v>
      </c>
      <c r="CK43" s="215" t="s">
        <v>1244</v>
      </c>
      <c r="CL43" s="230" t="s">
        <v>1206</v>
      </c>
      <c r="CM43" s="231">
        <v>852</v>
      </c>
      <c r="CN43" s="232">
        <v>17176</v>
      </c>
      <c r="CO43" s="232">
        <f t="shared" si="8"/>
        <v>330.30769230769232</v>
      </c>
      <c r="CP43" s="232">
        <v>7690</v>
      </c>
      <c r="CQ43" s="232">
        <f t="shared" si="9"/>
        <v>147.88461538461539</v>
      </c>
      <c r="CR43" s="232">
        <v>35682</v>
      </c>
      <c r="CS43" s="232">
        <f t="shared" si="10"/>
        <v>686.19230769230774</v>
      </c>
      <c r="CT43" s="266">
        <v>23523</v>
      </c>
      <c r="CU43" s="232">
        <f t="shared" si="11"/>
        <v>452.36538461538464</v>
      </c>
      <c r="CV43" s="267">
        <v>3357</v>
      </c>
      <c r="CW43" s="232">
        <v>87428</v>
      </c>
      <c r="CX43" s="233">
        <v>84071</v>
      </c>
      <c r="DR43" s="142" t="s">
        <v>2680</v>
      </c>
      <c r="DS43" s="142" t="s">
        <v>2690</v>
      </c>
      <c r="DU43" s="181" t="s">
        <v>1270</v>
      </c>
      <c r="DV43" s="182" t="s">
        <v>1148</v>
      </c>
      <c r="DW43" s="135" t="s">
        <v>1598</v>
      </c>
      <c r="DX43" s="200">
        <f t="shared" si="13"/>
        <v>33.125</v>
      </c>
      <c r="DY43" s="135">
        <v>26.5</v>
      </c>
      <c r="EO43" s="142" t="str">
        <f>CONCATENATE($F$5,$G$8,B29)</f>
        <v/>
      </c>
      <c r="ET43" s="135" t="s">
        <v>2862</v>
      </c>
      <c r="EU43" s="135" t="s">
        <v>2952</v>
      </c>
      <c r="EY43" s="135" t="s">
        <v>2656</v>
      </c>
      <c r="EZ43" s="135" t="s">
        <v>2764</v>
      </c>
      <c r="FA43" s="135" t="s">
        <v>47</v>
      </c>
      <c r="FB43" s="135" t="str">
        <f t="shared" si="7"/>
        <v>1vvVPT</v>
      </c>
      <c r="FC43" s="156">
        <f>VLOOKUP(EZ43,'Tarieven VPT'!$D$6:$I$113,6,FALSE)</f>
        <v>70.866497876749449</v>
      </c>
      <c r="FD43" s="156">
        <f t="shared" ref="FD43:FD81" si="30">FC43*7</f>
        <v>496.06548513724613</v>
      </c>
      <c r="FI43" s="181" t="s">
        <v>1596</v>
      </c>
      <c r="FJ43" s="135">
        <v>2</v>
      </c>
    </row>
    <row r="44" spans="1:166" ht="21.75" hidden="1" thickBot="1" x14ac:dyDescent="0.4">
      <c r="B44" s="290"/>
      <c r="D44" s="292">
        <f ca="1">IFERROR(IF($B$43="restant",$G$44,$E$45-$I$56-$I$40-$I$42),0)</f>
        <v>0</v>
      </c>
      <c r="G44" s="292">
        <f ca="1">IF(I33=0,I45,I44)-I39</f>
        <v>0</v>
      </c>
      <c r="I44" s="292">
        <f ca="1">I45+IF(M44&lt;0,0,M44)</f>
        <v>0</v>
      </c>
      <c r="L44" s="26"/>
      <c r="M44" s="42">
        <f ca="1">T19-I33</f>
        <v>0</v>
      </c>
      <c r="N44" s="61" t="e">
        <f ca="1">IF(SUM($I$32:$I$33)-($BQ$11+IF($I$33&gt;0,$T$19,0))&lt;=0,SUM($I$32:$I$33),$BQ$11+IF($I$33&gt;0,$T$19,0))</f>
        <v>#N/A</v>
      </c>
      <c r="O44" s="42" t="e">
        <f ca="1">SUM(M44:N44)</f>
        <v>#N/A</v>
      </c>
      <c r="P44" s="26"/>
      <c r="Q44" s="26"/>
      <c r="R44" s="26"/>
      <c r="S44" s="26"/>
      <c r="AC44" s="150"/>
      <c r="AD44" s="150"/>
      <c r="AE44" s="150"/>
      <c r="AF44" s="150"/>
      <c r="AG44" s="150"/>
      <c r="AH44" s="150"/>
      <c r="AI44" s="150"/>
      <c r="AJ44" s="135" t="s">
        <v>2839</v>
      </c>
      <c r="AK44" s="135" t="s">
        <v>2799</v>
      </c>
      <c r="AL44" s="151"/>
      <c r="AM44" s="151"/>
      <c r="AN44" s="170">
        <v>14</v>
      </c>
      <c r="AO44" s="170" t="s">
        <v>1551</v>
      </c>
      <c r="AP44" s="170"/>
      <c r="AQ44" s="170"/>
      <c r="AR44" s="170"/>
      <c r="AS44" s="170"/>
      <c r="AT44" s="170"/>
      <c r="AU44" s="170"/>
      <c r="AV44" s="170"/>
      <c r="AW44" s="170"/>
      <c r="AX44" s="165" t="s">
        <v>1742</v>
      </c>
      <c r="AY44" s="135" t="s">
        <v>490</v>
      </c>
      <c r="AZ44" s="206">
        <f>VLOOKUP(AY44,'Tarieven ZIN prestaties'!$B$1:$D$84,2,FALSE)</f>
        <v>56.5</v>
      </c>
      <c r="BA44" s="207"/>
      <c r="BD44" s="181" t="s">
        <v>1218</v>
      </c>
      <c r="BE44" s="209">
        <v>754</v>
      </c>
      <c r="BF44" s="182" t="s">
        <v>1244</v>
      </c>
      <c r="BG44" s="210">
        <f>VLOOKUP(BD44,'PGB tarieven'!$A$7:$M$53,13,FALSE)</f>
        <v>51351</v>
      </c>
      <c r="BH44" s="211">
        <f t="shared" si="29"/>
        <v>984.81369863013697</v>
      </c>
      <c r="BI44" s="193"/>
      <c r="BJ44" s="193"/>
      <c r="BK44" s="212" t="s">
        <v>1211</v>
      </c>
      <c r="BL44" s="175">
        <f>VLOOKUP(BK44,'Ruimte behandeling basis MPT'!$A$2:$H$41,8,FALSE)</f>
        <v>97.859999999999928</v>
      </c>
      <c r="BR44" s="135">
        <v>107</v>
      </c>
      <c r="BS44" s="135" t="s">
        <v>1819</v>
      </c>
      <c r="CA44" s="214"/>
      <c r="CB44" s="214"/>
      <c r="CC44" s="214"/>
      <c r="CD44" s="214"/>
      <c r="CE44" s="214"/>
      <c r="CF44" s="214"/>
      <c r="CG44" s="214"/>
      <c r="CH44" s="214"/>
      <c r="CI44" s="181" t="s">
        <v>1219</v>
      </c>
      <c r="CJ44" s="209" t="s">
        <v>1634</v>
      </c>
      <c r="CK44" s="215" t="s">
        <v>1244</v>
      </c>
      <c r="CL44" s="235" t="s">
        <v>1207</v>
      </c>
      <c r="CM44" s="236">
        <v>854</v>
      </c>
      <c r="CN44" s="237">
        <v>26894</v>
      </c>
      <c r="CO44" s="232">
        <f t="shared" si="8"/>
        <v>517.19230769230774</v>
      </c>
      <c r="CP44" s="237">
        <v>14099</v>
      </c>
      <c r="CQ44" s="232">
        <f t="shared" si="9"/>
        <v>271.13461538461536</v>
      </c>
      <c r="CR44" s="237">
        <v>35682</v>
      </c>
      <c r="CS44" s="232">
        <f t="shared" si="10"/>
        <v>686.19230769230774</v>
      </c>
      <c r="CT44" s="237">
        <v>23523</v>
      </c>
      <c r="CU44" s="232">
        <f t="shared" si="11"/>
        <v>452.36538461538464</v>
      </c>
      <c r="CV44" s="237">
        <v>3357</v>
      </c>
      <c r="CW44" s="237">
        <v>103555</v>
      </c>
      <c r="CX44" s="233">
        <v>100198</v>
      </c>
      <c r="DR44" s="142" t="s">
        <v>2681</v>
      </c>
      <c r="DS44" s="142" t="s">
        <v>2688</v>
      </c>
      <c r="DU44" s="181" t="s">
        <v>1230</v>
      </c>
      <c r="DV44" s="182" t="s">
        <v>1148</v>
      </c>
      <c r="DW44" s="135" t="s">
        <v>1598</v>
      </c>
      <c r="DX44" s="200">
        <f t="shared" si="13"/>
        <v>8.125</v>
      </c>
      <c r="DY44" s="135">
        <v>6.5</v>
      </c>
      <c r="EO44" s="142" t="str">
        <f>CONCATENATE($F$5,$G$8,B30)</f>
        <v/>
      </c>
      <c r="ET44" s="135" t="s">
        <v>2845</v>
      </c>
      <c r="EU44" s="135" t="s">
        <v>2781</v>
      </c>
      <c r="EY44" s="135" t="s">
        <v>2658</v>
      </c>
      <c r="EZ44" s="135" t="s">
        <v>2765</v>
      </c>
      <c r="FA44" s="135" t="s">
        <v>47</v>
      </c>
      <c r="FB44" s="135" t="str">
        <f t="shared" si="7"/>
        <v>2vvVPT</v>
      </c>
      <c r="FC44" s="156">
        <f>VLOOKUP(EZ44,'Tarieven VPT'!$D$6:$I$113,6,FALSE)</f>
        <v>93.847296149839138</v>
      </c>
      <c r="FD44" s="156">
        <f t="shared" si="30"/>
        <v>656.93107304887394</v>
      </c>
      <c r="FI44" s="181" t="s">
        <v>1238</v>
      </c>
      <c r="FJ44" s="135">
        <v>2</v>
      </c>
    </row>
    <row r="45" spans="1:166" ht="21.75" hidden="1" thickBot="1" x14ac:dyDescent="0.4">
      <c r="B45" s="290"/>
      <c r="E45" s="292">
        <f ca="1">I35</f>
        <v>0</v>
      </c>
      <c r="I45" s="292">
        <f ca="1">IF(AND(G53=1,I33=0),M6-E45,IF(AND(G53=1,I33&gt;0),M6-E45-G46,T1-E45))</f>
        <v>0</v>
      </c>
      <c r="L45" s="42"/>
      <c r="M45" s="26"/>
      <c r="N45" s="26"/>
      <c r="O45" s="26"/>
      <c r="P45" s="26"/>
      <c r="Q45" s="26">
        <f>IF(D42=0,1,0)</f>
        <v>1</v>
      </c>
      <c r="R45" s="42">
        <f ca="1">I35-I40-I41</f>
        <v>0</v>
      </c>
      <c r="S45" s="26"/>
      <c r="AB45" s="156">
        <f>IF(BM12=0,0,IF(BM12&lt;0,0,SUM($I$32:$I$33)-$I$38))</f>
        <v>0</v>
      </c>
      <c r="AC45" s="150"/>
      <c r="AD45" s="150"/>
      <c r="AE45" s="150"/>
      <c r="AF45" s="150"/>
      <c r="AG45" s="150"/>
      <c r="AH45" s="150"/>
      <c r="AI45" s="150"/>
      <c r="AJ45" s="135" t="s">
        <v>2840</v>
      </c>
      <c r="AK45" s="135" t="s">
        <v>2800</v>
      </c>
      <c r="AL45" s="151"/>
      <c r="AM45" s="151"/>
      <c r="AN45" s="170">
        <v>15</v>
      </c>
      <c r="AO45" s="170" t="s">
        <v>1551</v>
      </c>
      <c r="AP45" s="170"/>
      <c r="AQ45" s="170"/>
      <c r="AR45" s="170"/>
      <c r="AS45" s="170"/>
      <c r="AT45" s="170"/>
      <c r="AU45" s="170"/>
      <c r="AV45" s="170"/>
      <c r="AW45" s="170"/>
      <c r="AX45" s="165" t="s">
        <v>1743</v>
      </c>
      <c r="AY45" s="135" t="s">
        <v>520</v>
      </c>
      <c r="AZ45" s="206">
        <f>VLOOKUP(AY45,'Tarieven ZIN prestaties'!$B$1:$D$84,2,FALSE)</f>
        <v>54.56</v>
      </c>
      <c r="BA45" s="207"/>
      <c r="BD45" s="181" t="s">
        <v>1219</v>
      </c>
      <c r="BE45" s="209">
        <v>755</v>
      </c>
      <c r="BF45" s="182" t="s">
        <v>1244</v>
      </c>
      <c r="BG45" s="210">
        <f>VLOOKUP(BD45,'PGB tarieven'!$A$7:$M$53,13,FALSE)</f>
        <v>51351</v>
      </c>
      <c r="BH45" s="211">
        <f t="shared" si="29"/>
        <v>984.81369863013697</v>
      </c>
      <c r="BI45" s="193"/>
      <c r="BJ45" s="193"/>
      <c r="BK45" s="212" t="s">
        <v>1212</v>
      </c>
      <c r="BL45" s="175">
        <f>VLOOKUP(BK45,'Ruimte behandeling basis MPT'!$A$2:$H$41,8,FALSE)</f>
        <v>125.15999999999997</v>
      </c>
      <c r="BR45" s="135">
        <v>108</v>
      </c>
      <c r="BS45" s="135" t="s">
        <v>1819</v>
      </c>
      <c r="CA45" s="214"/>
      <c r="CB45" s="214"/>
      <c r="CC45" s="214"/>
      <c r="CD45" s="214"/>
      <c r="CE45" s="214"/>
      <c r="CF45" s="214"/>
      <c r="CG45" s="214"/>
      <c r="CH45" s="214"/>
      <c r="CI45" s="181" t="s">
        <v>1220</v>
      </c>
      <c r="CJ45" s="209" t="s">
        <v>1634</v>
      </c>
      <c r="CK45" s="215" t="s">
        <v>1244</v>
      </c>
      <c r="CL45" s="230" t="s">
        <v>1208</v>
      </c>
      <c r="CM45" s="231">
        <v>856</v>
      </c>
      <c r="CN45" s="232">
        <v>8220</v>
      </c>
      <c r="CO45" s="232">
        <f t="shared" si="8"/>
        <v>158.07692307692307</v>
      </c>
      <c r="CP45" s="231">
        <v>0</v>
      </c>
      <c r="CQ45" s="232">
        <f t="shared" si="9"/>
        <v>0</v>
      </c>
      <c r="CR45" s="232">
        <v>35682</v>
      </c>
      <c r="CS45" s="232">
        <f t="shared" si="10"/>
        <v>686.19230769230774</v>
      </c>
      <c r="CT45" s="232">
        <v>18622</v>
      </c>
      <c r="CU45" s="232">
        <f t="shared" si="11"/>
        <v>358.11538461538464</v>
      </c>
      <c r="CV45" s="232">
        <v>3357</v>
      </c>
      <c r="CW45" s="232">
        <v>65881</v>
      </c>
      <c r="CX45" s="233">
        <v>62524</v>
      </c>
      <c r="DR45" s="142" t="s">
        <v>2691</v>
      </c>
      <c r="DS45" s="142" t="s">
        <v>1543</v>
      </c>
      <c r="DU45" s="181" t="s">
        <v>1231</v>
      </c>
      <c r="DV45" s="182" t="s">
        <v>1148</v>
      </c>
      <c r="DW45" s="135" t="s">
        <v>1598</v>
      </c>
      <c r="DX45" s="200">
        <f t="shared" si="13"/>
        <v>11.875</v>
      </c>
      <c r="DY45" s="135">
        <v>9.5</v>
      </c>
      <c r="EO45" s="142" t="str">
        <f>CONCATENATE($F$5,$G$8,B31)</f>
        <v/>
      </c>
      <c r="ET45" s="135" t="s">
        <v>2851</v>
      </c>
      <c r="EU45" s="135" t="s">
        <v>2941</v>
      </c>
      <c r="EY45" s="135" t="s">
        <v>2657</v>
      </c>
      <c r="EZ45" s="135" t="s">
        <v>2926</v>
      </c>
      <c r="FA45" s="135" t="s">
        <v>47</v>
      </c>
      <c r="FB45" s="135" t="str">
        <f t="shared" si="7"/>
        <v>3vvVPT</v>
      </c>
      <c r="FC45" s="156">
        <f>VLOOKUP(EZ45,'Tarieven VPT'!$D$6:$I$113,6,FALSE)</f>
        <v>146.31395433561758</v>
      </c>
      <c r="FD45" s="156">
        <f t="shared" si="30"/>
        <v>1024.197680349323</v>
      </c>
      <c r="FI45" s="181" t="s">
        <v>1239</v>
      </c>
      <c r="FJ45" s="135">
        <v>2</v>
      </c>
    </row>
    <row r="46" spans="1:166" ht="19.5" hidden="1" thickBot="1" x14ac:dyDescent="0.35">
      <c r="B46" s="295">
        <f ca="1">E45-I38</f>
        <v>0</v>
      </c>
      <c r="D46" s="292">
        <f ca="1">IF($D$50&gt;=0,$D$50,IF(SUM($I$38:$I$42)&lt;($M$6+$D$48),$M$6+$D$48-$I$38-$I$39-$I$41-$I$40-$I$42,IF($D$47-$D$49&gt;0,$D$47-$D$49,$D$49-$D$47)))</f>
        <v>0</v>
      </c>
      <c r="G46" s="291">
        <f ca="1">IF(G47&gt;0,G47,H47)</f>
        <v>0</v>
      </c>
      <c r="I46" s="292"/>
      <c r="J46" s="292"/>
      <c r="K46" s="292"/>
      <c r="L46" s="26"/>
      <c r="M46" s="35">
        <f ca="1">M6-I32</f>
        <v>0</v>
      </c>
      <c r="Q46" s="113">
        <f>IFERROR(IF(D42= "Gespecialiseerde verpleging",10,IF(D42="extra budget voor behandeling",1,IF(Q24="meerzorg",3,IF(D42="toeslag beademing",2,IF(AND(D42=0,Q24="overig"),3,5))))),0)</f>
        <v>5</v>
      </c>
      <c r="R46" s="113">
        <f>IF(Q48=1,V55,IF(Q48=2,V56,IF(Q48=5,0,IF(Q48=6,V53,V52))))</f>
        <v>0</v>
      </c>
      <c r="T46" s="135" t="s">
        <v>3701</v>
      </c>
      <c r="U46" s="135" t="s">
        <v>3701</v>
      </c>
      <c r="V46" s="156">
        <f ca="1">SUM($I$32:$I$33)-$I$38-$I$41</f>
        <v>0</v>
      </c>
      <c r="W46" s="156">
        <f>$M$6*25%</f>
        <v>0</v>
      </c>
      <c r="X46" s="156">
        <f ca="1">V46-W46</f>
        <v>0</v>
      </c>
      <c r="Y46" s="156">
        <f ca="1">IF(X46&gt;0,W46,V46)</f>
        <v>0</v>
      </c>
      <c r="Z46" s="200"/>
      <c r="AC46" s="150"/>
      <c r="AD46" s="150"/>
      <c r="AE46" s="150"/>
      <c r="AF46" s="150"/>
      <c r="AG46" s="150"/>
      <c r="AH46" s="150"/>
      <c r="AI46" s="150"/>
      <c r="AJ46" s="135" t="s">
        <v>2841</v>
      </c>
      <c r="AK46" s="135" t="s">
        <v>2801</v>
      </c>
      <c r="AL46" s="151"/>
      <c r="AM46" s="151"/>
      <c r="AN46" s="170">
        <v>16</v>
      </c>
      <c r="AO46" s="170" t="s">
        <v>1552</v>
      </c>
      <c r="AP46" s="170"/>
      <c r="AQ46" s="170"/>
      <c r="AR46" s="170"/>
      <c r="AS46" s="170"/>
      <c r="AT46" s="170"/>
      <c r="AU46" s="170"/>
      <c r="AV46" s="170"/>
      <c r="AW46" s="170"/>
      <c r="AX46" s="165" t="s">
        <v>1638</v>
      </c>
      <c r="AY46" s="135" t="s">
        <v>427</v>
      </c>
      <c r="AZ46" s="206">
        <f>VLOOKUP(AY46,'Tarieven ZIN prestaties'!$B$1:$D$84,2,FALSE)</f>
        <v>73.069999999999993</v>
      </c>
      <c r="BA46" s="207"/>
      <c r="BD46" s="181" t="s">
        <v>1220</v>
      </c>
      <c r="BE46" s="209">
        <v>756</v>
      </c>
      <c r="BF46" s="182" t="s">
        <v>1244</v>
      </c>
      <c r="BG46" s="210">
        <f>VLOOKUP(BD46,'PGB tarieven'!$A$7:$M$53,13,FALSE)</f>
        <v>64324</v>
      </c>
      <c r="BH46" s="211">
        <f t="shared" si="29"/>
        <v>1233.6109589041096</v>
      </c>
      <c r="BI46" s="193"/>
      <c r="BJ46" s="193"/>
      <c r="BK46" s="212" t="s">
        <v>1213</v>
      </c>
      <c r="BL46" s="175">
        <f>VLOOKUP(BK46,'Ruimte behandeling basis MPT'!$A$2:$H$41,8,FALSE)</f>
        <v>155.32999999999998</v>
      </c>
      <c r="BR46" s="135">
        <v>109</v>
      </c>
      <c r="BS46" s="135" t="s">
        <v>1819</v>
      </c>
      <c r="CA46" s="214"/>
      <c r="CB46" s="214"/>
      <c r="CC46" s="214"/>
      <c r="CD46" s="214"/>
      <c r="CE46" s="214"/>
      <c r="CF46" s="214"/>
      <c r="CG46" s="214"/>
      <c r="CH46" s="214"/>
      <c r="CI46" s="181" t="s">
        <v>1221</v>
      </c>
      <c r="CJ46" s="209" t="s">
        <v>1634</v>
      </c>
      <c r="CK46" s="215" t="s">
        <v>1244</v>
      </c>
      <c r="CL46" s="230" t="s">
        <v>1214</v>
      </c>
      <c r="CM46" s="231">
        <v>750</v>
      </c>
      <c r="CN46" s="232">
        <v>1497</v>
      </c>
      <c r="CO46" s="232">
        <f t="shared" si="8"/>
        <v>28.78846153846154</v>
      </c>
      <c r="CP46" s="232">
        <v>3845</v>
      </c>
      <c r="CQ46" s="232">
        <f t="shared" si="9"/>
        <v>73.942307692307693</v>
      </c>
      <c r="CR46" s="232">
        <v>5959</v>
      </c>
      <c r="CS46" s="232">
        <f t="shared" si="10"/>
        <v>114.59615384615384</v>
      </c>
      <c r="CT46" s="231">
        <v>0</v>
      </c>
      <c r="CU46" s="232">
        <f t="shared" si="11"/>
        <v>0</v>
      </c>
      <c r="CV46" s="232">
        <v>3357</v>
      </c>
      <c r="CW46" s="232">
        <v>14658</v>
      </c>
      <c r="CX46" s="233">
        <v>11301</v>
      </c>
      <c r="DR46" s="142" t="s">
        <v>2692</v>
      </c>
      <c r="DS46" s="142" t="s">
        <v>1543</v>
      </c>
      <c r="DU46" s="181" t="s">
        <v>1232</v>
      </c>
      <c r="DV46" s="182" t="s">
        <v>1148</v>
      </c>
      <c r="DW46" s="135" t="s">
        <v>1598</v>
      </c>
      <c r="DX46" s="200">
        <f t="shared" si="13"/>
        <v>15.625</v>
      </c>
      <c r="DY46" s="135">
        <v>12.5</v>
      </c>
      <c r="EO46" s="142"/>
      <c r="ET46" s="135" t="s">
        <v>2857</v>
      </c>
      <c r="EU46" s="135" t="s">
        <v>2947</v>
      </c>
      <c r="EY46" s="135" t="s">
        <v>2659</v>
      </c>
      <c r="EZ46" s="135" t="s">
        <v>2927</v>
      </c>
      <c r="FA46" s="135" t="s">
        <v>47</v>
      </c>
      <c r="FB46" s="135" t="str">
        <f t="shared" si="7"/>
        <v>4vvVPT</v>
      </c>
      <c r="FC46" s="156">
        <f>VLOOKUP(EZ46,'Tarieven VPT'!$D$6:$I$113,6,FALSE)</f>
        <v>156.45000000000002</v>
      </c>
      <c r="FD46" s="156">
        <f t="shared" si="30"/>
        <v>1095.1500000000001</v>
      </c>
      <c r="FI46" s="181" t="s">
        <v>1240</v>
      </c>
      <c r="FJ46" s="135">
        <v>2</v>
      </c>
    </row>
    <row r="47" spans="1:166" ht="19.5" hidden="1" thickBot="1" x14ac:dyDescent="0.35">
      <c r="D47" s="292">
        <f ca="1">I35</f>
        <v>0</v>
      </c>
      <c r="F47" s="291" t="s">
        <v>2753</v>
      </c>
      <c r="G47" s="292">
        <f ca="1">T19-I33</f>
        <v>0</v>
      </c>
      <c r="H47" s="292">
        <f ca="1">I33-T19</f>
        <v>0</v>
      </c>
      <c r="I47" s="293" t="e">
        <f ca="1">IF($G$55=1,$N$44-$G$47,$N$44)</f>
        <v>#N/A</v>
      </c>
      <c r="L47" s="26"/>
      <c r="M47" s="35">
        <f ca="1">T19-I33</f>
        <v>0</v>
      </c>
      <c r="Q47" s="113">
        <f>IFERROR(IF(D42="palliatief terminale zorg",1,IF(D42="Extra overbruggingszorg (actief wachtend)",2,0)),0)</f>
        <v>0</v>
      </c>
      <c r="T47" s="135" t="s">
        <v>3701</v>
      </c>
      <c r="V47" s="156">
        <f ca="1">SUM($I$32:$I$33)-$I$38-$I$41</f>
        <v>0</v>
      </c>
      <c r="W47" s="156">
        <f>$M$6*25%</f>
        <v>0</v>
      </c>
      <c r="X47" s="156">
        <f ca="1">V47-W47</f>
        <v>0</v>
      </c>
      <c r="Y47" s="156">
        <f ca="1">IF(X47&gt;0,W47,V47)</f>
        <v>0</v>
      </c>
      <c r="Z47" s="200"/>
      <c r="AC47" s="150"/>
      <c r="AD47" s="150"/>
      <c r="AE47" s="150"/>
      <c r="AF47" s="150"/>
      <c r="AG47" s="150"/>
      <c r="AH47" s="150"/>
      <c r="AI47" s="150"/>
      <c r="AJ47" s="135" t="s">
        <v>2842</v>
      </c>
      <c r="AK47" s="135" t="s">
        <v>2802</v>
      </c>
      <c r="AL47" s="151"/>
      <c r="AM47" s="151"/>
      <c r="AN47" s="170">
        <v>17</v>
      </c>
      <c r="AO47" s="170" t="s">
        <v>1552</v>
      </c>
      <c r="AP47" s="170"/>
      <c r="AQ47" s="170"/>
      <c r="AR47" s="170"/>
      <c r="AS47" s="170"/>
      <c r="AT47" s="170"/>
      <c r="AU47" s="170"/>
      <c r="AV47" s="170"/>
      <c r="AW47" s="170"/>
      <c r="AX47" s="165" t="s">
        <v>1744</v>
      </c>
      <c r="AY47" s="135" t="s">
        <v>435</v>
      </c>
      <c r="AZ47" s="206">
        <f>VLOOKUP(AY47,'Tarieven ZIN prestaties'!$B$1:$D$84,2,FALSE)</f>
        <v>7.35</v>
      </c>
      <c r="BA47" s="207"/>
      <c r="BD47" s="181" t="s">
        <v>1221</v>
      </c>
      <c r="BE47" s="209">
        <v>757</v>
      </c>
      <c r="BF47" s="182" t="s">
        <v>1244</v>
      </c>
      <c r="BG47" s="210">
        <f>VLOOKUP(BD47,'PGB tarieven'!$A$7:$M$53,13,FALSE)</f>
        <v>76770</v>
      </c>
      <c r="BH47" s="211">
        <f t="shared" si="29"/>
        <v>1472.3013698630136</v>
      </c>
      <c r="BI47" s="193"/>
      <c r="BJ47" s="193"/>
      <c r="BK47" s="272"/>
      <c r="BL47" s="175"/>
      <c r="BR47" s="135">
        <v>600</v>
      </c>
      <c r="BS47" s="135" t="s">
        <v>2697</v>
      </c>
      <c r="CA47" s="214"/>
      <c r="CB47" s="214"/>
      <c r="CC47" s="214"/>
      <c r="CD47" s="214"/>
      <c r="CE47" s="214"/>
      <c r="CF47" s="214"/>
      <c r="CG47" s="214"/>
      <c r="CH47" s="214"/>
      <c r="CI47" s="181" t="s">
        <v>1596</v>
      </c>
      <c r="CJ47" s="209" t="s">
        <v>1634</v>
      </c>
      <c r="CK47" s="215" t="s">
        <v>1244</v>
      </c>
      <c r="CL47" s="230" t="s">
        <v>1215</v>
      </c>
      <c r="CM47" s="231">
        <v>751</v>
      </c>
      <c r="CN47" s="232">
        <v>8220</v>
      </c>
      <c r="CO47" s="232">
        <f t="shared" si="8"/>
        <v>158.07692307692307</v>
      </c>
      <c r="CP47" s="232">
        <v>7690</v>
      </c>
      <c r="CQ47" s="232">
        <f t="shared" si="9"/>
        <v>147.88461538461539</v>
      </c>
      <c r="CR47" s="232">
        <v>1987</v>
      </c>
      <c r="CS47" s="232">
        <f t="shared" si="10"/>
        <v>38.21153846153846</v>
      </c>
      <c r="CT47" s="231">
        <v>0</v>
      </c>
      <c r="CU47" s="232">
        <f t="shared" si="11"/>
        <v>0</v>
      </c>
      <c r="CV47" s="232">
        <v>3357</v>
      </c>
      <c r="CW47" s="232">
        <v>21254</v>
      </c>
      <c r="CX47" s="233">
        <v>17897</v>
      </c>
      <c r="DR47" s="142" t="s">
        <v>2693</v>
      </c>
      <c r="DS47" s="142" t="s">
        <v>1543</v>
      </c>
      <c r="DU47" s="181" t="s">
        <v>1233</v>
      </c>
      <c r="DV47" s="182" t="s">
        <v>1148</v>
      </c>
      <c r="DW47" s="135" t="s">
        <v>1598</v>
      </c>
      <c r="DX47" s="200">
        <f t="shared" si="13"/>
        <v>18.75</v>
      </c>
      <c r="DY47" s="135">
        <v>15</v>
      </c>
      <c r="ET47" s="135" t="s">
        <v>2863</v>
      </c>
      <c r="EU47" s="135" t="s">
        <v>2953</v>
      </c>
      <c r="EY47" s="135" t="s">
        <v>2660</v>
      </c>
      <c r="EZ47" s="135" t="s">
        <v>2928</v>
      </c>
      <c r="FA47" s="135" t="s">
        <v>47</v>
      </c>
      <c r="FB47" s="135" t="str">
        <f t="shared" si="7"/>
        <v>5vvVPT</v>
      </c>
      <c r="FC47" s="156">
        <f>VLOOKUP(EZ47,'Tarieven VPT'!$D$6:$I$113,6,FALSE)</f>
        <v>208.48</v>
      </c>
      <c r="FD47" s="156">
        <f t="shared" si="30"/>
        <v>1459.36</v>
      </c>
      <c r="FI47" s="181" t="s">
        <v>1241</v>
      </c>
      <c r="FJ47" s="135">
        <v>2</v>
      </c>
    </row>
    <row r="48" spans="1:166" ht="19.5" hidden="1" thickBot="1" x14ac:dyDescent="0.35">
      <c r="D48" s="291">
        <f ca="1">IF(I33=0,0,M15)</f>
        <v>0</v>
      </c>
      <c r="E48" s="291">
        <f>IF(OR(Q24&lt;&gt;"",Q24&lt;&gt;"Nee"),1,2)</f>
        <v>1</v>
      </c>
      <c r="F48" s="291" t="s">
        <v>2754</v>
      </c>
      <c r="G48" s="291">
        <f>IF(T19=0,0,1)</f>
        <v>0</v>
      </c>
      <c r="I48" s="292" t="e">
        <f ca="1">IF(M10-I47&gt;0,E45,I47)</f>
        <v>#N/A</v>
      </c>
      <c r="J48" s="292"/>
      <c r="K48" s="292"/>
      <c r="L48" s="26"/>
      <c r="M48" s="35">
        <f ca="1">E45-T1</f>
        <v>0</v>
      </c>
      <c r="P48" s="113" t="s">
        <v>1808</v>
      </c>
      <c r="Q48" s="113">
        <f>SUM(Q46:Q47)</f>
        <v>5</v>
      </c>
      <c r="T48" s="135" t="s">
        <v>3701</v>
      </c>
      <c r="V48" s="156">
        <f ca="1">SUM($I$32:$I$33)-$I$38-$I$41</f>
        <v>0</v>
      </c>
      <c r="W48" s="156">
        <f>$M$6*25%</f>
        <v>0</v>
      </c>
      <c r="X48" s="156">
        <f ca="1">V48-W48</f>
        <v>0</v>
      </c>
      <c r="Y48" s="156">
        <f ca="1">IF(X49&gt;0,W49,V49)</f>
        <v>0</v>
      </c>
      <c r="Z48" s="200"/>
      <c r="AC48" s="150"/>
      <c r="AD48" s="150"/>
      <c r="AE48" s="150"/>
      <c r="AF48" s="150"/>
      <c r="AG48" s="150"/>
      <c r="AH48" s="150"/>
      <c r="AI48" s="150"/>
      <c r="AJ48" s="135" t="s">
        <v>2843</v>
      </c>
      <c r="AK48" s="135" t="s">
        <v>2803</v>
      </c>
      <c r="AL48" s="151"/>
      <c r="AM48" s="151"/>
      <c r="AN48" s="170">
        <v>18</v>
      </c>
      <c r="AO48" s="170" t="s">
        <v>1552</v>
      </c>
      <c r="AP48" s="170"/>
      <c r="AQ48" s="170"/>
      <c r="AR48" s="170"/>
      <c r="AS48" s="170"/>
      <c r="AT48" s="170"/>
      <c r="AU48" s="170"/>
      <c r="AV48" s="170"/>
      <c r="AW48" s="170"/>
      <c r="AX48" s="165" t="s">
        <v>1745</v>
      </c>
      <c r="AY48" s="135" t="s">
        <v>500</v>
      </c>
      <c r="AZ48" s="206">
        <f>VLOOKUP(AY48,'Tarieven ZIN prestaties'!$B$1:$D$84,2,FALSE)</f>
        <v>37.32</v>
      </c>
      <c r="BA48" s="207"/>
      <c r="BD48" s="181" t="s">
        <v>1596</v>
      </c>
      <c r="BE48" s="209">
        <v>191</v>
      </c>
      <c r="BF48" s="182" t="s">
        <v>1244</v>
      </c>
      <c r="BG48" s="210">
        <f>VLOOKUP(BD48,'PGB tarieven'!$A$7:$M$53,13,FALSE)</f>
        <v>49229</v>
      </c>
      <c r="BH48" s="211">
        <f t="shared" si="29"/>
        <v>944.11780821917796</v>
      </c>
      <c r="BI48" s="193"/>
      <c r="BJ48" s="193"/>
      <c r="BK48" s="272"/>
      <c r="BL48" s="175"/>
      <c r="BR48" s="135">
        <v>601</v>
      </c>
      <c r="BS48" s="135" t="s">
        <v>2697</v>
      </c>
      <c r="CA48" s="214"/>
      <c r="CB48" s="214"/>
      <c r="CC48" s="214"/>
      <c r="CD48" s="214"/>
      <c r="CE48" s="214"/>
      <c r="CF48" s="214"/>
      <c r="CG48" s="214"/>
      <c r="CH48" s="214"/>
      <c r="CI48" s="181" t="s">
        <v>1223</v>
      </c>
      <c r="CJ48" s="209" t="s">
        <v>1634</v>
      </c>
      <c r="CK48" s="215" t="s">
        <v>1244</v>
      </c>
      <c r="CL48" s="230" t="s">
        <v>1216</v>
      </c>
      <c r="CM48" s="231">
        <v>752</v>
      </c>
      <c r="CN48" s="232">
        <v>12711</v>
      </c>
      <c r="CO48" s="232">
        <f t="shared" si="8"/>
        <v>244.44230769230768</v>
      </c>
      <c r="CP48" s="232">
        <v>3845</v>
      </c>
      <c r="CQ48" s="232">
        <f t="shared" si="9"/>
        <v>73.942307692307693</v>
      </c>
      <c r="CR48" s="232">
        <v>5959</v>
      </c>
      <c r="CS48" s="232">
        <f t="shared" si="10"/>
        <v>114.59615384615384</v>
      </c>
      <c r="CT48" s="231">
        <v>0</v>
      </c>
      <c r="CU48" s="232">
        <f t="shared" si="11"/>
        <v>0</v>
      </c>
      <c r="CV48" s="232">
        <v>3357</v>
      </c>
      <c r="CW48" s="232">
        <v>25872</v>
      </c>
      <c r="CX48" s="233">
        <v>22515</v>
      </c>
      <c r="DR48" s="142" t="s">
        <v>2694</v>
      </c>
      <c r="DS48" s="142" t="s">
        <v>1543</v>
      </c>
      <c r="DU48" s="181" t="s">
        <v>1234</v>
      </c>
      <c r="DV48" s="182" t="s">
        <v>1148</v>
      </c>
      <c r="DW48" s="135" t="s">
        <v>1631</v>
      </c>
      <c r="DX48" s="200">
        <f t="shared" si="13"/>
        <v>23.125</v>
      </c>
      <c r="DY48" s="135">
        <v>18.5</v>
      </c>
      <c r="ET48" s="135" t="s">
        <v>2864</v>
      </c>
      <c r="EU48" s="135" t="s">
        <v>2782</v>
      </c>
      <c r="EY48" s="135" t="s">
        <v>2661</v>
      </c>
      <c r="EZ48" s="135" t="s">
        <v>2929</v>
      </c>
      <c r="FA48" s="135" t="s">
        <v>47</v>
      </c>
      <c r="FB48" s="135" t="str">
        <f t="shared" si="7"/>
        <v>6vvVPT</v>
      </c>
      <c r="FC48" s="156">
        <f>VLOOKUP(EZ48,'Tarieven VPT'!$D$6:$I$113,6,FALSE)</f>
        <v>208.83</v>
      </c>
      <c r="FD48" s="156">
        <f t="shared" si="30"/>
        <v>1461.8100000000002</v>
      </c>
      <c r="FI48" s="181" t="s">
        <v>1242</v>
      </c>
      <c r="FJ48" s="135">
        <v>2</v>
      </c>
    </row>
    <row r="49" spans="2:166" ht="19.5" hidden="1" thickBot="1" x14ac:dyDescent="0.35">
      <c r="D49" s="292">
        <f ca="1">D48+M17+M12+M8</f>
        <v>0</v>
      </c>
      <c r="I49" s="292" t="e">
        <f ca="1">IF(M6-I48&lt;0,M6,I48)</f>
        <v>#N/A</v>
      </c>
      <c r="L49" s="26"/>
      <c r="M49" s="113">
        <f ca="1">IF(I33=0,1,0)</f>
        <v>1</v>
      </c>
      <c r="T49" s="136" t="s">
        <v>3701</v>
      </c>
      <c r="U49" s="136" t="s">
        <v>1816</v>
      </c>
      <c r="V49" s="156">
        <f ca="1">SUM($I$32:$I$33)-$I$38-$I$41</f>
        <v>0</v>
      </c>
      <c r="W49" s="156">
        <f>$M$6*25%</f>
        <v>0</v>
      </c>
      <c r="X49" s="156">
        <f ca="1">V49-W49</f>
        <v>0</v>
      </c>
      <c r="Y49" s="156">
        <f ca="1">IF(X50&gt;0,W50,V50)</f>
        <v>0</v>
      </c>
      <c r="Z49" s="200"/>
      <c r="AC49" s="150"/>
      <c r="AD49" s="157"/>
      <c r="AE49" s="150"/>
      <c r="AF49" s="150"/>
      <c r="AG49" s="150"/>
      <c r="AH49" s="150"/>
      <c r="AI49" s="150"/>
      <c r="AJ49" s="135" t="s">
        <v>2844</v>
      </c>
      <c r="AK49" s="151"/>
      <c r="AL49" s="151"/>
      <c r="AM49" s="151"/>
      <c r="AN49" s="170">
        <v>19</v>
      </c>
      <c r="AO49" s="170" t="s">
        <v>1552</v>
      </c>
      <c r="AP49" s="170"/>
      <c r="AQ49" s="170"/>
      <c r="AR49" s="170"/>
      <c r="AS49" s="170"/>
      <c r="AT49" s="170"/>
      <c r="AU49" s="170"/>
      <c r="AV49" s="170"/>
      <c r="AW49" s="170"/>
      <c r="AX49" s="165" t="s">
        <v>1746</v>
      </c>
      <c r="AY49" s="135" t="s">
        <v>524</v>
      </c>
      <c r="AZ49" s="206">
        <f>VLOOKUP(AY49,'Tarieven ZIN prestaties'!$B$1:$D$84,2,FALSE)</f>
        <v>52.68</v>
      </c>
      <c r="BA49" s="207"/>
      <c r="BD49" s="181" t="s">
        <v>1238</v>
      </c>
      <c r="BE49" s="209">
        <v>780</v>
      </c>
      <c r="BF49" s="182" t="s">
        <v>1244</v>
      </c>
      <c r="BG49" s="210">
        <f>VLOOKUP(BD49,'PGB tarieven'!$A$7:$M$53,13,FALSE)</f>
        <v>29980</v>
      </c>
      <c r="BH49" s="211">
        <f t="shared" si="29"/>
        <v>574.95890410958896</v>
      </c>
      <c r="BI49" s="193"/>
      <c r="BJ49" s="193"/>
      <c r="BK49" s="272"/>
      <c r="BL49" s="175"/>
      <c r="BR49" s="135">
        <v>602</v>
      </c>
      <c r="BS49" s="135" t="s">
        <v>2697</v>
      </c>
      <c r="CA49" s="214"/>
      <c r="CB49" s="214"/>
      <c r="CC49" s="214"/>
      <c r="CD49" s="214"/>
      <c r="CE49" s="214"/>
      <c r="CF49" s="214"/>
      <c r="CG49" s="214"/>
      <c r="CH49" s="214"/>
      <c r="CI49" s="181" t="s">
        <v>1238</v>
      </c>
      <c r="CJ49" s="209" t="s">
        <v>1634</v>
      </c>
      <c r="CK49" s="215" t="s">
        <v>1244</v>
      </c>
      <c r="CL49" s="230" t="s">
        <v>1217</v>
      </c>
      <c r="CM49" s="231">
        <v>753</v>
      </c>
      <c r="CN49" s="232">
        <v>12711</v>
      </c>
      <c r="CO49" s="232">
        <f t="shared" si="8"/>
        <v>244.44230769230768</v>
      </c>
      <c r="CP49" s="232">
        <v>7690</v>
      </c>
      <c r="CQ49" s="232">
        <f t="shared" si="9"/>
        <v>147.88461538461539</v>
      </c>
      <c r="CR49" s="232">
        <v>10907</v>
      </c>
      <c r="CS49" s="232">
        <f t="shared" si="10"/>
        <v>209.75</v>
      </c>
      <c r="CT49" s="231">
        <v>0</v>
      </c>
      <c r="CU49" s="232">
        <f t="shared" si="11"/>
        <v>0</v>
      </c>
      <c r="CV49" s="232">
        <v>3357</v>
      </c>
      <c r="CW49" s="232">
        <v>34665</v>
      </c>
      <c r="CX49" s="233">
        <v>31308</v>
      </c>
      <c r="DR49" s="142" t="s">
        <v>2695</v>
      </c>
      <c r="DS49" s="142" t="s">
        <v>1543</v>
      </c>
      <c r="DU49" s="181" t="s">
        <v>1235</v>
      </c>
      <c r="DV49" s="182" t="s">
        <v>1148</v>
      </c>
      <c r="DW49" s="135" t="s">
        <v>1598</v>
      </c>
      <c r="DX49" s="200">
        <f t="shared" si="13"/>
        <v>23.75</v>
      </c>
      <c r="DY49" s="135">
        <v>19</v>
      </c>
      <c r="ET49" s="135" t="s">
        <v>2865</v>
      </c>
      <c r="EU49" s="135" t="s">
        <v>2783</v>
      </c>
      <c r="EY49" s="135" t="s">
        <v>2662</v>
      </c>
      <c r="EZ49" s="135" t="s">
        <v>2930</v>
      </c>
      <c r="FA49" s="135" t="s">
        <v>47</v>
      </c>
      <c r="FB49" s="135" t="str">
        <f t="shared" si="7"/>
        <v>7vvVPT</v>
      </c>
      <c r="FC49" s="156">
        <f>VLOOKUP(EZ49,'Tarieven VPT'!$D$6:$I$113,6,FALSE)</f>
        <v>248.6</v>
      </c>
      <c r="FD49" s="156">
        <f t="shared" si="30"/>
        <v>1740.2</v>
      </c>
      <c r="FI49" s="181" t="s">
        <v>1243</v>
      </c>
      <c r="FJ49" s="135">
        <v>2</v>
      </c>
    </row>
    <row r="50" spans="2:166" ht="19.5" hidden="1" thickBot="1" x14ac:dyDescent="0.35">
      <c r="D50" s="291">
        <f ca="1">IF(B43="overschrijding",D49-D47,D47-D49-I40-I42)</f>
        <v>0</v>
      </c>
      <c r="E50" s="291">
        <f t="shared" ref="E50:E62" si="31">IF($E$20=E19,3,0)</f>
        <v>3</v>
      </c>
      <c r="I50" s="292">
        <f ca="1">IF($T$19-$I$33&gt;0,$I$33,$T$19)</f>
        <v>0</v>
      </c>
      <c r="M50" s="113">
        <f ca="1">IF(M46&lt;0,1,0)</f>
        <v>0</v>
      </c>
      <c r="Q50" s="35"/>
      <c r="R50" s="35"/>
      <c r="T50" s="136" t="s">
        <v>3701</v>
      </c>
      <c r="U50" s="136" t="s">
        <v>1817</v>
      </c>
      <c r="V50" s="156">
        <f ca="1">SUM($I$32:$I$33)-$I$38-$I$41</f>
        <v>0</v>
      </c>
      <c r="W50" s="156">
        <f>$M$6*25%</f>
        <v>0</v>
      </c>
      <c r="X50" s="156">
        <f ca="1">V50-W50</f>
        <v>0</v>
      </c>
      <c r="Y50" s="156">
        <f ca="1">Y49</f>
        <v>0</v>
      </c>
      <c r="AC50" s="150"/>
      <c r="AD50" s="157"/>
      <c r="AE50" s="150"/>
      <c r="AF50" s="150"/>
      <c r="AG50" s="158"/>
      <c r="AH50" s="150"/>
      <c r="AI50" s="150"/>
      <c r="AJ50" s="135" t="s">
        <v>2845</v>
      </c>
      <c r="AK50" s="151"/>
      <c r="AL50" s="151"/>
      <c r="AM50" s="151"/>
      <c r="AN50" s="170">
        <v>20</v>
      </c>
      <c r="AO50" s="170" t="s">
        <v>1553</v>
      </c>
      <c r="AP50" s="170"/>
      <c r="AQ50" s="170"/>
      <c r="AR50" s="170"/>
      <c r="AS50" s="170"/>
      <c r="AT50" s="170"/>
      <c r="AU50" s="170"/>
      <c r="AV50" s="170"/>
      <c r="AW50" s="170"/>
      <c r="AX50" s="165" t="s">
        <v>1747</v>
      </c>
      <c r="AY50" s="135" t="s">
        <v>546</v>
      </c>
      <c r="AZ50" s="206">
        <f>VLOOKUP(AY50,'Tarieven ZIN prestaties'!$B$1:$D$84,2,FALSE)</f>
        <v>90.07</v>
      </c>
      <c r="BA50" s="207"/>
      <c r="BD50" s="181" t="s">
        <v>1239</v>
      </c>
      <c r="BE50" s="209">
        <v>781</v>
      </c>
      <c r="BF50" s="182" t="s">
        <v>1244</v>
      </c>
      <c r="BG50" s="210">
        <f>VLOOKUP(BD50,'PGB tarieven'!$A$7:$M$53,13,FALSE)</f>
        <v>42953</v>
      </c>
      <c r="BH50" s="211">
        <f t="shared" si="29"/>
        <v>823.75616438356167</v>
      </c>
      <c r="BI50" s="193"/>
      <c r="BJ50" s="193"/>
      <c r="BK50" s="272"/>
      <c r="BL50" s="175"/>
      <c r="BR50" s="135">
        <v>603</v>
      </c>
      <c r="BS50" s="135" t="s">
        <v>2697</v>
      </c>
      <c r="CA50" s="214"/>
      <c r="CB50" s="214"/>
      <c r="CC50" s="214"/>
      <c r="CD50" s="214"/>
      <c r="CE50" s="214"/>
      <c r="CF50" s="214"/>
      <c r="CG50" s="214"/>
      <c r="CH50" s="214"/>
      <c r="CI50" s="181" t="s">
        <v>1239</v>
      </c>
      <c r="CJ50" s="209" t="s">
        <v>1634</v>
      </c>
      <c r="CK50" s="215" t="s">
        <v>1244</v>
      </c>
      <c r="CL50" s="230" t="s">
        <v>1218</v>
      </c>
      <c r="CM50" s="231">
        <v>754</v>
      </c>
      <c r="CN50" s="232">
        <v>12711</v>
      </c>
      <c r="CO50" s="232">
        <f t="shared" si="8"/>
        <v>244.44230769230768</v>
      </c>
      <c r="CP50" s="232">
        <v>14099</v>
      </c>
      <c r="CQ50" s="232">
        <f t="shared" si="9"/>
        <v>271.13461538461536</v>
      </c>
      <c r="CR50" s="232">
        <v>16866</v>
      </c>
      <c r="CS50" s="232">
        <f t="shared" si="10"/>
        <v>324.34615384615387</v>
      </c>
      <c r="CT50" s="231">
        <v>0</v>
      </c>
      <c r="CU50" s="232">
        <f t="shared" si="11"/>
        <v>0</v>
      </c>
      <c r="CV50" s="232">
        <v>3357</v>
      </c>
      <c r="CW50" s="232">
        <v>47033</v>
      </c>
      <c r="CX50" s="233">
        <v>43676</v>
      </c>
      <c r="DR50" s="142" t="s">
        <v>2673</v>
      </c>
      <c r="DS50" s="142" t="s">
        <v>1543</v>
      </c>
      <c r="DU50" s="181" t="s">
        <v>1236</v>
      </c>
      <c r="DV50" s="182" t="s">
        <v>1148</v>
      </c>
      <c r="DW50" s="135" t="s">
        <v>1631</v>
      </c>
      <c r="DX50" s="200">
        <f t="shared" si="13"/>
        <v>30</v>
      </c>
      <c r="DY50" s="261">
        <v>24</v>
      </c>
      <c r="ET50" s="135" t="s">
        <v>2866</v>
      </c>
      <c r="EU50" s="135" t="s">
        <v>2784</v>
      </c>
      <c r="EY50" s="135" t="s">
        <v>2663</v>
      </c>
      <c r="EZ50" s="135" t="s">
        <v>2931</v>
      </c>
      <c r="FA50" s="135" t="s">
        <v>47</v>
      </c>
      <c r="FB50" s="135" t="str">
        <f t="shared" si="7"/>
        <v>8vvVPT</v>
      </c>
      <c r="FC50" s="156">
        <f>VLOOKUP(EZ50,'Tarieven VPT'!$D$6:$I$113,6,FALSE)</f>
        <v>282.45</v>
      </c>
      <c r="FD50" s="156">
        <f t="shared" si="30"/>
        <v>1977.1499999999999</v>
      </c>
    </row>
    <row r="51" spans="2:166" ht="19.5" hidden="1" thickBot="1" x14ac:dyDescent="0.35">
      <c r="D51" s="291">
        <f t="shared" ref="D51:D63" si="32">IF($E$19=E19,2,0)</f>
        <v>2</v>
      </c>
      <c r="E51" s="291">
        <f t="shared" si="31"/>
        <v>3</v>
      </c>
      <c r="G51" s="291">
        <f ca="1">IF(OR(G47&gt;0,G47&lt;0),1,100)</f>
        <v>100</v>
      </c>
      <c r="I51" s="292" t="e">
        <f ca="1">IF(I49-M6=0,I49+I50,I49)</f>
        <v>#N/A</v>
      </c>
      <c r="M51" s="113">
        <f ca="1">IF(M47&lt;0,3,4)</f>
        <v>4</v>
      </c>
      <c r="O51" s="35">
        <f ca="1">I35-M6-M12-T25</f>
        <v>0</v>
      </c>
      <c r="T51" s="135">
        <v>10</v>
      </c>
      <c r="U51" s="135" t="s">
        <v>1406</v>
      </c>
      <c r="V51" s="156">
        <f ca="1">$D$111-$I$38-$I$40-$I$39-I40</f>
        <v>0</v>
      </c>
      <c r="AC51" s="150"/>
      <c r="AD51" s="157"/>
      <c r="AE51" s="150"/>
      <c r="AF51" s="150"/>
      <c r="AG51" s="159"/>
      <c r="AH51" s="150"/>
      <c r="AI51" s="150"/>
      <c r="AJ51" s="135" t="s">
        <v>2846</v>
      </c>
      <c r="AK51" s="151"/>
      <c r="AL51" s="151"/>
      <c r="AM51" s="151"/>
      <c r="AN51" s="170">
        <v>21</v>
      </c>
      <c r="AO51" s="170" t="s">
        <v>1553</v>
      </c>
      <c r="AP51" s="170"/>
      <c r="AQ51" s="170"/>
      <c r="AR51" s="170"/>
      <c r="AS51" s="170"/>
      <c r="AT51" s="170"/>
      <c r="AU51" s="170"/>
      <c r="AV51" s="170"/>
      <c r="AW51" s="170"/>
      <c r="AX51" s="165" t="s">
        <v>1748</v>
      </c>
      <c r="AY51" s="135" t="s">
        <v>550</v>
      </c>
      <c r="AZ51" s="206">
        <f>VLOOKUP(AY51,'Tarieven ZIN prestaties'!$B$1:$D$84,2,FALSE)</f>
        <v>70.03</v>
      </c>
      <c r="BA51" s="207"/>
      <c r="BD51" s="181" t="s">
        <v>1240</v>
      </c>
      <c r="BE51" s="209">
        <v>782</v>
      </c>
      <c r="BF51" s="182" t="s">
        <v>1244</v>
      </c>
      <c r="BG51" s="210">
        <f>VLOOKUP(BD51,'PGB tarieven'!$A$7:$M$53,13,FALSE)</f>
        <v>51927</v>
      </c>
      <c r="BH51" s="211">
        <f t="shared" si="29"/>
        <v>995.86027397260273</v>
      </c>
      <c r="BI51" s="193"/>
      <c r="BJ51" s="193"/>
      <c r="BK51" s="272"/>
      <c r="BL51" s="175"/>
      <c r="BR51" s="135">
        <v>604</v>
      </c>
      <c r="BS51" s="135" t="s">
        <v>2697</v>
      </c>
      <c r="CA51" s="214"/>
      <c r="CB51" s="214"/>
      <c r="CC51" s="214"/>
      <c r="CD51" s="214"/>
      <c r="CE51" s="214"/>
      <c r="CF51" s="214"/>
      <c r="CG51" s="214"/>
      <c r="CH51" s="214"/>
      <c r="CI51" s="181" t="s">
        <v>1240</v>
      </c>
      <c r="CJ51" s="209" t="s">
        <v>1634</v>
      </c>
      <c r="CK51" s="215" t="s">
        <v>1244</v>
      </c>
      <c r="CL51" s="230" t="s">
        <v>1219</v>
      </c>
      <c r="CM51" s="231">
        <v>755</v>
      </c>
      <c r="CN51" s="232">
        <v>12711</v>
      </c>
      <c r="CO51" s="232">
        <f t="shared" si="8"/>
        <v>244.44230769230768</v>
      </c>
      <c r="CP51" s="232">
        <v>14099</v>
      </c>
      <c r="CQ51" s="232">
        <f t="shared" si="9"/>
        <v>271.13461538461536</v>
      </c>
      <c r="CR51" s="232">
        <v>16866</v>
      </c>
      <c r="CS51" s="232">
        <f t="shared" si="10"/>
        <v>324.34615384615387</v>
      </c>
      <c r="CT51" s="231">
        <v>0</v>
      </c>
      <c r="CU51" s="232">
        <f t="shared" si="11"/>
        <v>0</v>
      </c>
      <c r="CV51" s="232">
        <v>3357</v>
      </c>
      <c r="CW51" s="232">
        <v>47033</v>
      </c>
      <c r="CX51" s="233">
        <v>43676</v>
      </c>
      <c r="DU51" s="181" t="s">
        <v>1237</v>
      </c>
      <c r="DV51" s="182" t="s">
        <v>1148</v>
      </c>
      <c r="DW51" s="135" t="s">
        <v>1631</v>
      </c>
      <c r="DX51" s="200">
        <f t="shared" si="13"/>
        <v>28.75</v>
      </c>
      <c r="DY51" s="261">
        <v>23</v>
      </c>
      <c r="ET51" s="135" t="s">
        <v>2867</v>
      </c>
      <c r="EU51" s="135" t="s">
        <v>2785</v>
      </c>
      <c r="EY51" s="135" t="s">
        <v>1596</v>
      </c>
      <c r="EZ51" s="135" t="s">
        <v>2932</v>
      </c>
      <c r="FA51" s="135" t="s">
        <v>47</v>
      </c>
      <c r="FB51" s="135" t="str">
        <f t="shared" si="7"/>
        <v>9vvbVPT</v>
      </c>
      <c r="FC51" s="156">
        <f>VLOOKUP(EZ51,'Tarieven VPT'!$D$6:$I$113,6,FALSE)</f>
        <v>245.85</v>
      </c>
      <c r="FD51" s="156">
        <f t="shared" si="30"/>
        <v>1720.95</v>
      </c>
    </row>
    <row r="52" spans="2:166" ht="19.5" hidden="1" thickBot="1" x14ac:dyDescent="0.35">
      <c r="B52" s="291">
        <f t="shared" ref="B52:B64" si="33">IF($E$18=E19,1,0)</f>
        <v>1</v>
      </c>
      <c r="D52" s="291">
        <f t="shared" si="32"/>
        <v>2</v>
      </c>
      <c r="E52" s="291">
        <f t="shared" si="31"/>
        <v>3</v>
      </c>
      <c r="I52" s="292">
        <f>IF(M8&gt;0,M6-M8,0)</f>
        <v>0</v>
      </c>
      <c r="J52" s="292"/>
      <c r="K52" s="292"/>
      <c r="M52" s="113">
        <f ca="1">SUM(M49:M51)</f>
        <v>5</v>
      </c>
      <c r="T52" s="135">
        <v>3</v>
      </c>
      <c r="U52" s="135" t="s">
        <v>1807</v>
      </c>
      <c r="V52" s="156">
        <f ca="1">$D$111-$I$38-$I$40-$I$39-I41</f>
        <v>0</v>
      </c>
      <c r="AC52" s="150"/>
      <c r="AD52" s="157"/>
      <c r="AE52" s="150"/>
      <c r="AF52" s="150"/>
      <c r="AG52" s="159"/>
      <c r="AH52" s="150"/>
      <c r="AI52" s="150"/>
      <c r="AJ52" s="135" t="s">
        <v>2847</v>
      </c>
      <c r="AK52" s="151"/>
      <c r="AL52" s="151"/>
      <c r="AM52" s="151"/>
      <c r="AN52" s="170">
        <v>22</v>
      </c>
      <c r="AO52" s="170" t="s">
        <v>1553</v>
      </c>
      <c r="AP52" s="170"/>
      <c r="AQ52" s="170"/>
      <c r="AR52" s="170"/>
      <c r="AS52" s="170"/>
      <c r="AT52" s="170"/>
      <c r="AU52" s="170"/>
      <c r="AV52" s="170"/>
      <c r="AW52" s="170"/>
      <c r="AX52" s="165" t="s">
        <v>1749</v>
      </c>
      <c r="AY52" s="135" t="s">
        <v>502</v>
      </c>
      <c r="AZ52" s="206">
        <f>VLOOKUP(AY52,'Tarieven ZIN prestaties'!$B$1:$D$84,2,FALSE)</f>
        <v>86.31</v>
      </c>
      <c r="BA52" s="207"/>
      <c r="BD52" s="181" t="s">
        <v>1241</v>
      </c>
      <c r="BE52" s="209">
        <v>783</v>
      </c>
      <c r="BF52" s="182" t="s">
        <v>1244</v>
      </c>
      <c r="BG52" s="210">
        <f>VLOOKUP(BD52,'PGB tarieven'!$A$7:$M$53,13,FALSE)</f>
        <v>67368</v>
      </c>
      <c r="BH52" s="211">
        <f t="shared" si="29"/>
        <v>1291.9890410958906</v>
      </c>
      <c r="BI52" s="193"/>
      <c r="BJ52" s="193"/>
      <c r="BK52" s="272"/>
      <c r="BL52" s="175"/>
      <c r="BR52" s="135">
        <v>605</v>
      </c>
      <c r="BS52" s="135" t="s">
        <v>2698</v>
      </c>
      <c r="CA52" s="214"/>
      <c r="CB52" s="214"/>
      <c r="CC52" s="214"/>
      <c r="CD52" s="214"/>
      <c r="CE52" s="214"/>
      <c r="CF52" s="214"/>
      <c r="CG52" s="214"/>
      <c r="CH52" s="214"/>
      <c r="CI52" s="181" t="s">
        <v>1241</v>
      </c>
      <c r="CJ52" s="209" t="s">
        <v>1634</v>
      </c>
      <c r="CK52" s="215" t="s">
        <v>1244</v>
      </c>
      <c r="CL52" s="230" t="s">
        <v>1220</v>
      </c>
      <c r="CM52" s="231">
        <v>756</v>
      </c>
      <c r="CN52" s="232">
        <v>12711</v>
      </c>
      <c r="CO52" s="232">
        <f t="shared" si="8"/>
        <v>244.44230769230768</v>
      </c>
      <c r="CP52" s="232">
        <v>14099</v>
      </c>
      <c r="CQ52" s="232">
        <f t="shared" si="9"/>
        <v>271.13461538461536</v>
      </c>
      <c r="CR52" s="232">
        <v>28748</v>
      </c>
      <c r="CS52" s="232">
        <f t="shared" si="10"/>
        <v>552.84615384615381</v>
      </c>
      <c r="CT52" s="231">
        <v>0</v>
      </c>
      <c r="CU52" s="232">
        <f t="shared" si="11"/>
        <v>0</v>
      </c>
      <c r="CV52" s="232">
        <v>3357</v>
      </c>
      <c r="CW52" s="232">
        <v>58915</v>
      </c>
      <c r="CX52" s="233">
        <v>55558</v>
      </c>
      <c r="DU52" s="181" t="s">
        <v>1198</v>
      </c>
      <c r="DV52" s="182" t="s">
        <v>1148</v>
      </c>
      <c r="DW52" s="135" t="s">
        <v>1598</v>
      </c>
      <c r="DX52" s="200">
        <f t="shared" si="13"/>
        <v>11.25</v>
      </c>
      <c r="DY52" s="135">
        <v>9</v>
      </c>
      <c r="ET52" s="135" t="s">
        <v>2868</v>
      </c>
      <c r="EU52" s="135" t="s">
        <v>2786</v>
      </c>
      <c r="EY52" s="135" t="s">
        <v>2665</v>
      </c>
      <c r="EZ52" s="135" t="s">
        <v>2933</v>
      </c>
      <c r="FA52" s="135" t="s">
        <v>47</v>
      </c>
      <c r="FB52" s="135" t="str">
        <f t="shared" si="7"/>
        <v>10vvVPT</v>
      </c>
      <c r="FC52" s="156">
        <f>VLOOKUP(EZ52,'Tarieven VPT'!$D$6:$I$113,6,FALSE)</f>
        <v>305.32</v>
      </c>
      <c r="FD52" s="156">
        <f t="shared" si="30"/>
        <v>2137.2399999999998</v>
      </c>
    </row>
    <row r="53" spans="2:166" ht="19.5" hidden="1" thickBot="1" x14ac:dyDescent="0.35">
      <c r="B53" s="291">
        <f t="shared" si="33"/>
        <v>1</v>
      </c>
      <c r="D53" s="291">
        <f t="shared" si="32"/>
        <v>2</v>
      </c>
      <c r="E53" s="291">
        <f t="shared" si="31"/>
        <v>3</v>
      </c>
      <c r="G53" s="291">
        <f ca="1">IF(G48+G51=2,1,0)</f>
        <v>0</v>
      </c>
      <c r="I53" s="291">
        <f ca="1">IF(T19-I33&gt;0,I52,T1-M12)</f>
        <v>0</v>
      </c>
      <c r="M53" s="113">
        <f ca="1">IF(M52=5,M44,M48)</f>
        <v>0</v>
      </c>
      <c r="T53" s="135">
        <v>3</v>
      </c>
      <c r="U53" s="135" t="s">
        <v>1808</v>
      </c>
      <c r="V53" s="156">
        <f ca="1">$D$111-$I$38-$I$40-$I$39-I41</f>
        <v>0</v>
      </c>
      <c r="AC53" s="150"/>
      <c r="AD53" s="160"/>
      <c r="AE53" s="158"/>
      <c r="AF53" s="158"/>
      <c r="AG53" s="159"/>
      <c r="AH53" s="150"/>
      <c r="AI53" s="150"/>
      <c r="AJ53" s="135" t="s">
        <v>2848</v>
      </c>
      <c r="AK53" s="151"/>
      <c r="AL53" s="151"/>
      <c r="AM53" s="151"/>
      <c r="AN53" s="170">
        <v>23</v>
      </c>
      <c r="AO53" s="170" t="s">
        <v>1553</v>
      </c>
      <c r="AP53" s="170"/>
      <c r="AQ53" s="170"/>
      <c r="AR53" s="170"/>
      <c r="AS53" s="170"/>
      <c r="AT53" s="170"/>
      <c r="AU53" s="170"/>
      <c r="AV53" s="170"/>
      <c r="AW53" s="170"/>
      <c r="AX53" s="165" t="s">
        <v>1750</v>
      </c>
      <c r="AY53" s="135" t="s">
        <v>536</v>
      </c>
      <c r="AZ53" s="206">
        <f>VLOOKUP(AY53,'Tarieven ZIN prestaties'!$B$1:$D$84,2,FALSE)</f>
        <v>128.76</v>
      </c>
      <c r="BA53" s="207"/>
      <c r="BD53" s="181" t="s">
        <v>1242</v>
      </c>
      <c r="BE53" s="209">
        <v>784</v>
      </c>
      <c r="BF53" s="182" t="s">
        <v>1244</v>
      </c>
      <c r="BG53" s="210">
        <f>VLOOKUP(BD53,'PGB tarieven'!$A$7:$M$53,13,FALSE)</f>
        <v>67368</v>
      </c>
      <c r="BH53" s="211">
        <f t="shared" si="29"/>
        <v>1291.9890410958906</v>
      </c>
      <c r="BI53" s="193"/>
      <c r="BJ53" s="193"/>
      <c r="BK53" s="272"/>
      <c r="BL53" s="175"/>
      <c r="BR53" s="135">
        <v>606</v>
      </c>
      <c r="BS53" s="135" t="s">
        <v>2697</v>
      </c>
      <c r="CA53" s="214"/>
      <c r="CB53" s="214"/>
      <c r="CC53" s="214"/>
      <c r="CD53" s="214"/>
      <c r="CE53" s="214"/>
      <c r="CF53" s="214"/>
      <c r="CG53" s="214"/>
      <c r="CH53" s="214"/>
      <c r="CI53" s="181" t="s">
        <v>1242</v>
      </c>
      <c r="CJ53" s="209" t="s">
        <v>1634</v>
      </c>
      <c r="CK53" s="215" t="s">
        <v>1244</v>
      </c>
      <c r="CL53" s="230" t="s">
        <v>1221</v>
      </c>
      <c r="CM53" s="231">
        <v>757</v>
      </c>
      <c r="CN53" s="232">
        <v>17176</v>
      </c>
      <c r="CO53" s="232">
        <f t="shared" si="8"/>
        <v>330.30769230769232</v>
      </c>
      <c r="CP53" s="232">
        <v>14099</v>
      </c>
      <c r="CQ53" s="232">
        <f t="shared" si="9"/>
        <v>271.13461538461536</v>
      </c>
      <c r="CR53" s="232">
        <v>35682</v>
      </c>
      <c r="CS53" s="232">
        <f t="shared" si="10"/>
        <v>686.19230769230774</v>
      </c>
      <c r="CT53" s="231">
        <v>0</v>
      </c>
      <c r="CU53" s="232">
        <f t="shared" si="11"/>
        <v>0</v>
      </c>
      <c r="CV53" s="232">
        <v>3357</v>
      </c>
      <c r="CW53" s="232">
        <v>70314</v>
      </c>
      <c r="CX53" s="233">
        <v>66957</v>
      </c>
      <c r="DU53" s="181" t="s">
        <v>1199</v>
      </c>
      <c r="DV53" s="182" t="s">
        <v>1148</v>
      </c>
      <c r="DW53" s="135" t="s">
        <v>1598</v>
      </c>
      <c r="DX53" s="200">
        <f t="shared" si="13"/>
        <v>18.125</v>
      </c>
      <c r="DY53" s="135">
        <v>14.5</v>
      </c>
      <c r="ET53" s="135" t="s">
        <v>2869</v>
      </c>
      <c r="EU53" s="135" t="s">
        <v>2787</v>
      </c>
      <c r="EY53" s="135" t="s">
        <v>2648</v>
      </c>
      <c r="EZ53" s="135" t="s">
        <v>2934</v>
      </c>
      <c r="FA53" s="135" t="s">
        <v>47</v>
      </c>
      <c r="FB53" s="135" t="str">
        <f t="shared" si="7"/>
        <v>1vgVPT</v>
      </c>
      <c r="FC53" s="156">
        <f>VLOOKUP(EZ53,'Tarieven VPT'!$D$6:$I$113,6,FALSE)</f>
        <v>96.415050082640221</v>
      </c>
      <c r="FD53" s="156">
        <f t="shared" si="30"/>
        <v>674.9053505784816</v>
      </c>
    </row>
    <row r="54" spans="2:166" ht="19.5" hidden="1" thickBot="1" x14ac:dyDescent="0.35">
      <c r="B54" s="291">
        <f t="shared" si="33"/>
        <v>1</v>
      </c>
      <c r="D54" s="291">
        <f t="shared" si="32"/>
        <v>2</v>
      </c>
      <c r="E54" s="291">
        <f t="shared" si="31"/>
        <v>3</v>
      </c>
      <c r="G54" s="291">
        <f ca="1">IF(M10-E45&gt;=0,1,0)</f>
        <v>1</v>
      </c>
      <c r="I54" s="291" t="e">
        <f ca="1">IF(M8&gt;0,I53,I51)</f>
        <v>#N/A</v>
      </c>
      <c r="M54" s="113">
        <f ca="1">IF(I38+D46&gt;E45,E45-I38,M53)</f>
        <v>0</v>
      </c>
      <c r="T54" s="135">
        <v>3</v>
      </c>
      <c r="U54" s="136" t="s">
        <v>1809</v>
      </c>
      <c r="V54" s="156">
        <f ca="1">$D$111-$I$38-$I$40-$I$39-I41</f>
        <v>0</v>
      </c>
      <c r="AC54" s="150"/>
      <c r="AE54" s="161"/>
      <c r="AF54" s="159"/>
      <c r="AG54" s="159"/>
      <c r="AH54" s="151"/>
      <c r="AI54" s="150"/>
      <c r="AJ54" s="135" t="s">
        <v>2849</v>
      </c>
      <c r="AK54" s="151"/>
      <c r="AL54" s="151"/>
      <c r="AM54" s="151"/>
      <c r="AN54" s="170">
        <v>24</v>
      </c>
      <c r="AO54" s="170" t="s">
        <v>1553</v>
      </c>
      <c r="AP54" s="170"/>
      <c r="AQ54" s="170"/>
      <c r="AR54" s="170"/>
      <c r="AS54" s="170"/>
      <c r="AT54" s="170"/>
      <c r="AU54" s="170"/>
      <c r="AV54" s="170"/>
      <c r="AW54" s="170"/>
      <c r="AX54" s="165" t="s">
        <v>1639</v>
      </c>
      <c r="AY54" s="135" t="s">
        <v>399</v>
      </c>
      <c r="AZ54" s="206">
        <f>VLOOKUP(AY54,'Tarieven ZIN prestaties'!$B$1:$D$84,2,FALSE)</f>
        <v>149.02000000000001</v>
      </c>
      <c r="BA54" s="207"/>
      <c r="BD54" s="181" t="s">
        <v>1243</v>
      </c>
      <c r="BE54" s="209">
        <v>790</v>
      </c>
      <c r="BF54" s="182" t="s">
        <v>1244</v>
      </c>
      <c r="BG54" s="210">
        <f>VLOOKUP(BD54,'PGB tarieven'!$A$7:$M$53,13,FALSE)</f>
        <v>60587</v>
      </c>
      <c r="BH54" s="211">
        <f t="shared" si="29"/>
        <v>1161.9424657534246</v>
      </c>
      <c r="BI54" s="193"/>
      <c r="BJ54" s="193"/>
      <c r="BK54" s="272"/>
      <c r="BL54" s="175"/>
      <c r="BR54" s="135">
        <v>607</v>
      </c>
      <c r="BS54" s="135" t="s">
        <v>2697</v>
      </c>
      <c r="CA54" s="214"/>
      <c r="CB54" s="214"/>
      <c r="CC54" s="214"/>
      <c r="CD54" s="214"/>
      <c r="CE54" s="214"/>
      <c r="CF54" s="214"/>
      <c r="CG54" s="214"/>
      <c r="CH54" s="214"/>
      <c r="CI54" s="181" t="s">
        <v>1243</v>
      </c>
      <c r="CJ54" s="209" t="s">
        <v>1634</v>
      </c>
      <c r="CK54" s="215" t="s">
        <v>1244</v>
      </c>
      <c r="CL54" s="230" t="s">
        <v>1262</v>
      </c>
      <c r="CM54" s="231">
        <v>191</v>
      </c>
      <c r="CN54" s="232">
        <v>17176</v>
      </c>
      <c r="CO54" s="232">
        <f t="shared" si="8"/>
        <v>330.30769230769232</v>
      </c>
      <c r="CP54" s="232">
        <v>7690</v>
      </c>
      <c r="CQ54" s="232">
        <f t="shared" si="9"/>
        <v>147.88461538461539</v>
      </c>
      <c r="CR54" s="232">
        <v>16866</v>
      </c>
      <c r="CS54" s="232">
        <f t="shared" si="10"/>
        <v>324.34615384615387</v>
      </c>
      <c r="CT54" s="231">
        <v>0</v>
      </c>
      <c r="CU54" s="232">
        <f t="shared" si="11"/>
        <v>0</v>
      </c>
      <c r="CV54" s="232">
        <v>3357</v>
      </c>
      <c r="CW54" s="232">
        <v>45089</v>
      </c>
      <c r="CX54" s="233">
        <v>41732</v>
      </c>
      <c r="DU54" s="181" t="s">
        <v>1200</v>
      </c>
      <c r="DV54" s="182" t="s">
        <v>1148</v>
      </c>
      <c r="DW54" s="135" t="s">
        <v>1598</v>
      </c>
      <c r="DX54" s="200">
        <f t="shared" si="13"/>
        <v>18.125</v>
      </c>
      <c r="DY54" s="135">
        <v>14.5</v>
      </c>
      <c r="ET54" s="135" t="s">
        <v>2870</v>
      </c>
      <c r="EU54" s="135" t="s">
        <v>2788</v>
      </c>
      <c r="EY54" s="135" t="s">
        <v>2649</v>
      </c>
      <c r="EZ54" s="135" t="s">
        <v>2935</v>
      </c>
      <c r="FA54" s="135" t="s">
        <v>47</v>
      </c>
      <c r="FB54" s="135" t="str">
        <f t="shared" si="7"/>
        <v>2vgVPT</v>
      </c>
      <c r="FC54" s="156">
        <f>VLOOKUP(EZ54,'Tarieven VPT'!$D$6:$I$113,6,FALSE)</f>
        <v>107.75625777497906</v>
      </c>
      <c r="FD54" s="156">
        <f t="shared" si="30"/>
        <v>754.29380442485342</v>
      </c>
    </row>
    <row r="55" spans="2:166" ht="19.5" hidden="1" thickBot="1" x14ac:dyDescent="0.35">
      <c r="B55" s="291">
        <f t="shared" si="33"/>
        <v>1</v>
      </c>
      <c r="D55" s="291">
        <f t="shared" si="32"/>
        <v>2</v>
      </c>
      <c r="E55" s="291">
        <f t="shared" si="31"/>
        <v>3</v>
      </c>
      <c r="G55" s="291">
        <f ca="1">SUM(G53:G54)</f>
        <v>1</v>
      </c>
      <c r="I55" s="291" t="e">
        <f ca="1">IF(L62=2,I50,I54)</f>
        <v>#N/A</v>
      </c>
      <c r="M55" s="113">
        <f ca="1">IF(D46+I38&gt;E45,6,0)</f>
        <v>0</v>
      </c>
      <c r="T55" s="135">
        <v>1</v>
      </c>
      <c r="U55" s="268" t="s">
        <v>1810</v>
      </c>
      <c r="V55" s="269">
        <f ca="1">IF(W59=3,V58,IF(W59=4,U58,0))</f>
        <v>0</v>
      </c>
      <c r="Y55" s="135" t="s">
        <v>1689</v>
      </c>
      <c r="Z55" s="135">
        <f>BP12</f>
        <v>1479.9399999999998</v>
      </c>
      <c r="AA55" s="135">
        <f>IFERROR(VLOOKUP(Q23,Y55:Z56,2),0)</f>
        <v>0</v>
      </c>
      <c r="AB55" s="156">
        <f ca="1">E45-I38-I40</f>
        <v>0</v>
      </c>
      <c r="AC55" s="150"/>
      <c r="AE55" s="161"/>
      <c r="AF55" s="159"/>
      <c r="AG55" s="162"/>
      <c r="AH55" s="151"/>
      <c r="AI55" s="150"/>
      <c r="AJ55" s="135" t="s">
        <v>2850</v>
      </c>
      <c r="AK55" s="151"/>
      <c r="AL55" s="151"/>
      <c r="AM55" s="151"/>
      <c r="AN55" s="170">
        <v>25</v>
      </c>
      <c r="AO55" s="170" t="s">
        <v>1553</v>
      </c>
      <c r="AP55" s="170"/>
      <c r="AQ55" s="170"/>
      <c r="AR55" s="170"/>
      <c r="AS55" s="170"/>
      <c r="AT55" s="170"/>
      <c r="AU55" s="170"/>
      <c r="AV55" s="170"/>
      <c r="AW55" s="170"/>
      <c r="AX55" s="165" t="s">
        <v>1668</v>
      </c>
      <c r="AY55" s="135" t="s">
        <v>556</v>
      </c>
      <c r="AZ55" s="206">
        <f>VLOOKUP(AY55,'Tarieven ZIN prestaties'!$B$1:$D$84,2,FALSE)</f>
        <v>128.76</v>
      </c>
      <c r="BA55" s="207"/>
      <c r="BH55" s="233"/>
      <c r="BI55" s="193"/>
      <c r="BJ55" s="193"/>
      <c r="BK55" s="272"/>
      <c r="BL55" s="175"/>
      <c r="BR55" s="135">
        <v>608</v>
      </c>
      <c r="BS55" s="135" t="s">
        <v>2697</v>
      </c>
      <c r="CA55" s="214"/>
      <c r="CB55" s="214"/>
      <c r="CC55" s="214"/>
      <c r="CD55" s="214"/>
      <c r="CE55" s="214"/>
      <c r="CF55" s="214"/>
      <c r="CG55" s="214"/>
      <c r="CH55" s="214"/>
      <c r="CJ55" s="273"/>
      <c r="CL55" s="230" t="s">
        <v>1223</v>
      </c>
      <c r="CM55" s="231">
        <v>759</v>
      </c>
      <c r="CN55" s="232">
        <v>26894</v>
      </c>
      <c r="CO55" s="232">
        <f t="shared" si="8"/>
        <v>517.19230769230774</v>
      </c>
      <c r="CP55" s="232">
        <v>29480</v>
      </c>
      <c r="CQ55" s="232">
        <f t="shared" si="9"/>
        <v>566.92307692307691</v>
      </c>
      <c r="CR55" s="232">
        <v>16866</v>
      </c>
      <c r="CS55" s="232">
        <f t="shared" si="10"/>
        <v>324.34615384615387</v>
      </c>
      <c r="CT55" s="231">
        <v>0</v>
      </c>
      <c r="CU55" s="232">
        <f t="shared" si="11"/>
        <v>0</v>
      </c>
      <c r="CV55" s="232">
        <v>3357</v>
      </c>
      <c r="CW55" s="232">
        <v>76597</v>
      </c>
      <c r="CX55" s="233">
        <v>73240</v>
      </c>
      <c r="DU55" s="181" t="s">
        <v>1201</v>
      </c>
      <c r="DV55" s="182" t="s">
        <v>1148</v>
      </c>
      <c r="DW55" s="135" t="s">
        <v>1598</v>
      </c>
      <c r="DX55" s="200">
        <f t="shared" si="13"/>
        <v>21.875</v>
      </c>
      <c r="DY55" s="135">
        <v>17.5</v>
      </c>
      <c r="ET55" s="135" t="s">
        <v>2872</v>
      </c>
      <c r="EU55" s="135" t="s">
        <v>2954</v>
      </c>
      <c r="EY55" s="135" t="s">
        <v>2650</v>
      </c>
      <c r="EZ55" s="135" t="s">
        <v>2948</v>
      </c>
      <c r="FA55" s="135" t="s">
        <v>47</v>
      </c>
      <c r="FB55" s="135" t="str">
        <f t="shared" si="7"/>
        <v>3vgVPT</v>
      </c>
      <c r="FC55" s="156">
        <f>VLOOKUP(EZ55,'Tarieven VPT'!$D$6:$I$113,6,FALSE)</f>
        <v>154.70675128844843</v>
      </c>
      <c r="FD55" s="156">
        <f t="shared" si="30"/>
        <v>1082.947259019139</v>
      </c>
    </row>
    <row r="56" spans="2:166" ht="19.5" hidden="1" thickBot="1" x14ac:dyDescent="0.35">
      <c r="B56" s="291">
        <f t="shared" si="33"/>
        <v>1</v>
      </c>
      <c r="D56" s="291">
        <f t="shared" si="32"/>
        <v>2</v>
      </c>
      <c r="E56" s="291">
        <f t="shared" si="31"/>
        <v>3</v>
      </c>
      <c r="F56" s="291" t="e">
        <f>als</f>
        <v>#NAME?</v>
      </c>
      <c r="I56" s="291" t="e">
        <f ca="1">IF(E45-O57&gt;0,O57,I55)</f>
        <v>#N/A</v>
      </c>
      <c r="T56" s="135">
        <v>2</v>
      </c>
      <c r="U56" s="270" t="s">
        <v>1818</v>
      </c>
      <c r="V56" s="271">
        <f ca="1">IF(AB55&gt;AA55,AA55,AB55)</f>
        <v>0</v>
      </c>
      <c r="Y56" s="135" t="s">
        <v>1690</v>
      </c>
      <c r="Z56" s="135">
        <f>BP13</f>
        <v>277.83</v>
      </c>
      <c r="AC56" s="150"/>
      <c r="AE56" s="161"/>
      <c r="AF56" s="159"/>
      <c r="AH56" s="151"/>
      <c r="AI56" s="150"/>
      <c r="AJ56" s="135" t="s">
        <v>2851</v>
      </c>
      <c r="AK56" s="151"/>
      <c r="AL56" s="151"/>
      <c r="AM56" s="151"/>
      <c r="AN56" s="170"/>
      <c r="AO56" s="170"/>
      <c r="AP56" s="170"/>
      <c r="AQ56" s="170"/>
      <c r="AR56" s="170"/>
      <c r="AS56" s="170"/>
      <c r="AT56" s="170"/>
      <c r="AU56" s="170"/>
      <c r="AV56" s="170"/>
      <c r="AW56" s="170"/>
      <c r="AX56" s="165" t="s">
        <v>1751</v>
      </c>
      <c r="AY56" s="135" t="s">
        <v>409</v>
      </c>
      <c r="AZ56" s="206">
        <f>VLOOKUP(AY56,'Tarieven ZIN prestaties'!$B$1:$D$84,2,FALSE)</f>
        <v>108.62</v>
      </c>
      <c r="BA56" s="207"/>
      <c r="BH56" s="233"/>
      <c r="BI56" s="193"/>
      <c r="BJ56" s="193"/>
      <c r="BK56" s="272"/>
      <c r="BL56" s="175"/>
      <c r="BR56" s="135">
        <v>609</v>
      </c>
      <c r="BS56" s="135" t="s">
        <v>2697</v>
      </c>
      <c r="CA56" s="170"/>
      <c r="CB56" s="170"/>
      <c r="CC56" s="170"/>
      <c r="CD56" s="170"/>
      <c r="CE56" s="170"/>
      <c r="CF56" s="170"/>
      <c r="CG56" s="170"/>
      <c r="CH56" s="170"/>
      <c r="DU56" s="181" t="s">
        <v>1202</v>
      </c>
      <c r="DV56" s="182" t="s">
        <v>1148</v>
      </c>
      <c r="DW56" s="135" t="s">
        <v>1631</v>
      </c>
      <c r="DX56" s="200">
        <f t="shared" si="13"/>
        <v>28.75</v>
      </c>
      <c r="DY56" s="261">
        <v>23</v>
      </c>
      <c r="ET56" s="135" t="s">
        <v>2871</v>
      </c>
      <c r="EU56" s="135" t="s">
        <v>2789</v>
      </c>
      <c r="EY56" s="135" t="s">
        <v>2651</v>
      </c>
      <c r="EZ56" s="135" t="s">
        <v>2949</v>
      </c>
      <c r="FA56" s="135" t="s">
        <v>47</v>
      </c>
      <c r="FB56" s="135" t="str">
        <f t="shared" si="7"/>
        <v>4vgVPT</v>
      </c>
      <c r="FC56" s="156">
        <f>VLOOKUP(EZ56,'Tarieven VPT'!$D$6:$I$113,6,FALSE)</f>
        <v>179.36590562348201</v>
      </c>
      <c r="FD56" s="156">
        <f t="shared" si="30"/>
        <v>1255.5613393643741</v>
      </c>
    </row>
    <row r="57" spans="2:166" ht="19.5" hidden="1" thickBot="1" x14ac:dyDescent="0.35">
      <c r="B57" s="291">
        <f t="shared" si="33"/>
        <v>1</v>
      </c>
      <c r="D57" s="291">
        <f t="shared" si="32"/>
        <v>2</v>
      </c>
      <c r="E57" s="291">
        <f t="shared" si="31"/>
        <v>3</v>
      </c>
      <c r="G57" s="291">
        <f ca="1">IF(T19-I33&gt;=0,1,0)</f>
        <v>1</v>
      </c>
      <c r="O57" s="35">
        <f ca="1">IF(I33=0,M17,M17-M15)</f>
        <v>0</v>
      </c>
      <c r="Q57" s="35">
        <f ca="1">E45-I38</f>
        <v>0</v>
      </c>
      <c r="V57" s="274">
        <f ca="1">M10-I32</f>
        <v>0</v>
      </c>
      <c r="W57" s="142">
        <f ca="1">IF(V57&lt;1,1,2)</f>
        <v>1</v>
      </c>
      <c r="AC57" s="150"/>
      <c r="AE57" s="161"/>
      <c r="AF57" s="159"/>
      <c r="AH57" s="151"/>
      <c r="AI57" s="150"/>
      <c r="AJ57" s="135" t="s">
        <v>2852</v>
      </c>
      <c r="AK57" s="151"/>
      <c r="AL57" s="151"/>
      <c r="AM57" s="151"/>
      <c r="AN57" s="170"/>
      <c r="AO57" s="170"/>
      <c r="AP57" s="170"/>
      <c r="AQ57" s="170"/>
      <c r="AR57" s="170"/>
      <c r="AS57" s="170"/>
      <c r="AT57" s="170"/>
      <c r="AU57" s="170"/>
      <c r="AV57" s="170"/>
      <c r="AW57" s="170"/>
      <c r="AX57" s="165" t="s">
        <v>1635</v>
      </c>
      <c r="AY57" s="135" t="s">
        <v>392</v>
      </c>
      <c r="AZ57" s="206">
        <f>VLOOKUP(AY57,'Tarieven ZIN prestaties'!$B$1:$D$84,2,FALSE)</f>
        <v>106.04</v>
      </c>
      <c r="BA57" s="207"/>
      <c r="BH57" s="233"/>
      <c r="BI57" s="193"/>
      <c r="BJ57" s="193"/>
      <c r="BK57" s="272"/>
      <c r="BL57" s="175"/>
      <c r="BR57" s="135">
        <v>610</v>
      </c>
      <c r="BS57" s="135" t="s">
        <v>2697</v>
      </c>
      <c r="CA57" s="170"/>
      <c r="CB57" s="170"/>
      <c r="CC57" s="170"/>
      <c r="CD57" s="170"/>
      <c r="CE57" s="170"/>
      <c r="CF57" s="170"/>
      <c r="CG57" s="170"/>
      <c r="CH57" s="170"/>
      <c r="CI57" s="135" t="e">
        <f>VLOOKUP(G10,CI7:CK54,2,FALSE)</f>
        <v>#N/A</v>
      </c>
      <c r="DU57" s="181" t="s">
        <v>1203</v>
      </c>
      <c r="DV57" s="182" t="s">
        <v>1148</v>
      </c>
      <c r="DW57" s="135" t="s">
        <v>1631</v>
      </c>
      <c r="DX57" s="200">
        <f t="shared" si="13"/>
        <v>28.75</v>
      </c>
      <c r="DY57" s="261">
        <v>23</v>
      </c>
      <c r="ET57" s="135" t="s">
        <v>2873</v>
      </c>
      <c r="EU57" s="135" t="s">
        <v>2955</v>
      </c>
      <c r="EY57" s="135" t="s">
        <v>2652</v>
      </c>
      <c r="EZ57" s="135" t="s">
        <v>2950</v>
      </c>
      <c r="FA57" s="135" t="s">
        <v>47</v>
      </c>
      <c r="FB57" s="135" t="str">
        <f t="shared" si="7"/>
        <v>5vgVPT</v>
      </c>
      <c r="FC57" s="156">
        <f>VLOOKUP(EZ57,'Tarieven VPT'!$D$6:$I$113,6,FALSE)</f>
        <v>245.14695216184711</v>
      </c>
      <c r="FD57" s="156">
        <f t="shared" si="30"/>
        <v>1716.0286651329297</v>
      </c>
    </row>
    <row r="58" spans="2:166" ht="19.5" hidden="1" thickBot="1" x14ac:dyDescent="0.35">
      <c r="B58" s="291">
        <f t="shared" si="33"/>
        <v>1</v>
      </c>
      <c r="D58" s="291">
        <f t="shared" si="32"/>
        <v>2</v>
      </c>
      <c r="E58" s="291">
        <f t="shared" si="31"/>
        <v>3</v>
      </c>
      <c r="G58" s="291">
        <f ca="1">IF(M6-I35&lt;0,3,4)</f>
        <v>4</v>
      </c>
      <c r="T58" s="135">
        <f ca="1">IF(U58&lt;V58,U58,V58)</f>
        <v>0</v>
      </c>
      <c r="U58" s="156">
        <f ca="1">IF(U59&gt;0,U59,U60)</f>
        <v>0</v>
      </c>
      <c r="V58" s="274">
        <f ca="1">I33</f>
        <v>0</v>
      </c>
      <c r="W58" s="142">
        <f ca="1">IF(V58&lt;1,1,2)</f>
        <v>1</v>
      </c>
      <c r="AC58" s="163"/>
      <c r="AE58" s="161"/>
      <c r="AF58" s="162"/>
      <c r="AH58" s="164"/>
      <c r="AI58" s="163"/>
      <c r="AJ58" s="135" t="s">
        <v>2853</v>
      </c>
      <c r="AK58" s="164"/>
      <c r="AL58" s="164"/>
      <c r="AM58" s="164"/>
      <c r="AN58" s="170"/>
      <c r="AO58" s="170"/>
      <c r="AP58" s="170"/>
      <c r="AQ58" s="170"/>
      <c r="AR58" s="170"/>
      <c r="AS58" s="170"/>
      <c r="AT58" s="170"/>
      <c r="AU58" s="170"/>
      <c r="AV58" s="170"/>
      <c r="AW58" s="170"/>
      <c r="AX58" s="165" t="s">
        <v>1636</v>
      </c>
      <c r="AY58" s="135" t="s">
        <v>390</v>
      </c>
      <c r="AZ58" s="206">
        <f>VLOOKUP(AY58,'Tarieven ZIN prestaties'!$B$1:$D$84,2,FALSE)</f>
        <v>149.02000000000001</v>
      </c>
      <c r="BA58" s="207"/>
      <c r="BH58" s="233"/>
      <c r="BI58" s="193"/>
      <c r="BJ58" s="193"/>
      <c r="BK58" s="272"/>
      <c r="BL58" s="175"/>
      <c r="BR58" s="135">
        <v>611</v>
      </c>
      <c r="BS58" s="135" t="s">
        <v>2697</v>
      </c>
      <c r="CA58" s="170"/>
      <c r="CB58" s="170"/>
      <c r="CC58" s="170"/>
      <c r="CD58" s="170"/>
      <c r="CE58" s="170"/>
      <c r="CF58" s="170"/>
      <c r="CG58" s="170"/>
      <c r="CH58" s="170"/>
      <c r="CO58" s="135" t="s">
        <v>1624</v>
      </c>
      <c r="DU58" s="181" t="s">
        <v>1204</v>
      </c>
      <c r="DV58" s="182" t="s">
        <v>1148</v>
      </c>
      <c r="DW58" s="135" t="s">
        <v>1631</v>
      </c>
      <c r="DX58" s="200">
        <f t="shared" si="13"/>
        <v>32.5</v>
      </c>
      <c r="DY58" s="261">
        <v>26</v>
      </c>
      <c r="ET58" s="135" t="s">
        <v>2874</v>
      </c>
      <c r="EU58" s="135" t="s">
        <v>2790</v>
      </c>
      <c r="EY58" s="135" t="s">
        <v>2653</v>
      </c>
      <c r="EZ58" s="135" t="s">
        <v>2951</v>
      </c>
      <c r="FA58" s="135" t="s">
        <v>47</v>
      </c>
      <c r="FB58" s="135" t="str">
        <f t="shared" si="7"/>
        <v>6vgVPT</v>
      </c>
      <c r="FC58" s="156">
        <f>VLOOKUP(EZ58,'Tarieven VPT'!$D$6:$I$113,6,FALSE)</f>
        <v>208.75965302995925</v>
      </c>
      <c r="FD58" s="156">
        <f t="shared" si="30"/>
        <v>1461.3175712097147</v>
      </c>
    </row>
    <row r="59" spans="2:166" ht="19.5" hidden="1" thickBot="1" x14ac:dyDescent="0.35">
      <c r="B59" s="291">
        <f t="shared" si="33"/>
        <v>1</v>
      </c>
      <c r="D59" s="291">
        <f t="shared" si="32"/>
        <v>2</v>
      </c>
      <c r="E59" s="291">
        <f t="shared" si="31"/>
        <v>3</v>
      </c>
      <c r="G59" s="291">
        <f ca="1">G58+G57</f>
        <v>5</v>
      </c>
      <c r="U59" s="156">
        <f ca="1">$M$17-($I$32+$I$33)</f>
        <v>0</v>
      </c>
      <c r="V59" s="142"/>
      <c r="W59" s="142">
        <f ca="1">SUM(W57:W58)</f>
        <v>2</v>
      </c>
      <c r="AJ59" s="135" t="s">
        <v>2854</v>
      </c>
      <c r="AX59" s="165" t="s">
        <v>1637</v>
      </c>
      <c r="AY59" s="135" t="s">
        <v>401</v>
      </c>
      <c r="AZ59" s="206">
        <f>VLOOKUP(AY59,'Tarieven ZIN prestaties'!$B$1:$D$84,2,FALSE)</f>
        <v>177.37</v>
      </c>
      <c r="BA59" s="207"/>
      <c r="BH59" s="233"/>
      <c r="BI59" s="193"/>
      <c r="BJ59" s="193"/>
      <c r="BK59" s="272"/>
      <c r="BL59" s="175"/>
      <c r="BR59" s="135">
        <v>612</v>
      </c>
      <c r="BS59" s="135" t="s">
        <v>2697</v>
      </c>
      <c r="CL59" s="135" t="s">
        <v>1253</v>
      </c>
      <c r="CM59" s="156" t="e">
        <f>VLOOKUP($G$10,$CL$8:$CW$55,4,FALSE)</f>
        <v>#N/A</v>
      </c>
      <c r="CO59" s="156">
        <f>IFERROR(VLOOKUP(#REF!,$CL$59:$CM$62,2,FALSE),0)</f>
        <v>0</v>
      </c>
      <c r="CP59" s="156">
        <f>IFERROR(VLOOKUP(H12,$CL$59:$CM$62,2,FALSE),0)</f>
        <v>0</v>
      </c>
      <c r="CQ59" s="156">
        <f>IFERROR(VLOOKUP(I14,$CL$59:$CM$62,2,FALSE),0)</f>
        <v>0</v>
      </c>
      <c r="CR59" s="156">
        <f>IFERROR(VLOOKUP(J14,$CL$59:$CM$62,2,FALSE),0)</f>
        <v>0</v>
      </c>
      <c r="CS59" s="156"/>
      <c r="DU59" s="181" t="s">
        <v>1209</v>
      </c>
      <c r="DV59" s="182" t="s">
        <v>1148</v>
      </c>
      <c r="DW59" s="135" t="s">
        <v>1598</v>
      </c>
      <c r="DX59" s="200">
        <f t="shared" si="13"/>
        <v>8.125</v>
      </c>
      <c r="DY59" s="135">
        <v>6.5</v>
      </c>
      <c r="ET59" s="135" t="s">
        <v>2879</v>
      </c>
      <c r="EU59" s="135" t="s">
        <v>2956</v>
      </c>
      <c r="EY59" s="135" t="s">
        <v>2654</v>
      </c>
      <c r="EZ59" s="135" t="s">
        <v>2952</v>
      </c>
      <c r="FA59" s="135" t="s">
        <v>47</v>
      </c>
      <c r="FB59" s="135" t="str">
        <f t="shared" si="7"/>
        <v>7vgVPT</v>
      </c>
      <c r="FC59" s="156">
        <f>VLOOKUP(EZ59,'Tarieven VPT'!$D$6:$I$113,6,FALSE)</f>
        <v>238.35903833245359</v>
      </c>
      <c r="FD59" s="156">
        <f t="shared" si="30"/>
        <v>1668.5132683271752</v>
      </c>
    </row>
    <row r="60" spans="2:166" ht="19.5" hidden="1" thickBot="1" x14ac:dyDescent="0.35">
      <c r="B60" s="291">
        <f t="shared" si="33"/>
        <v>1</v>
      </c>
      <c r="D60" s="291">
        <f t="shared" si="32"/>
        <v>2</v>
      </c>
      <c r="E60" s="291">
        <f t="shared" si="31"/>
        <v>3</v>
      </c>
      <c r="G60" s="291">
        <f ca="1">IF(G59=4,I45,I44)</f>
        <v>0</v>
      </c>
      <c r="J60" s="291" t="s">
        <v>2755</v>
      </c>
      <c r="L60" s="113">
        <f ca="1">IF(I32=0,1,0)</f>
        <v>1</v>
      </c>
      <c r="U60" s="156">
        <f ca="1">($I$32+$I$33)-M17</f>
        <v>0</v>
      </c>
      <c r="AJ60" s="135" t="s">
        <v>2855</v>
      </c>
      <c r="AX60" s="165" t="s">
        <v>1752</v>
      </c>
      <c r="AY60" s="135" t="s">
        <v>540</v>
      </c>
      <c r="AZ60" s="206">
        <f>VLOOKUP(AY60,'Tarieven ZIN prestaties'!$B$1:$D$84,2,FALSE)</f>
        <v>53.36</v>
      </c>
      <c r="BA60" s="207"/>
      <c r="BH60" s="233"/>
      <c r="BI60" s="193"/>
      <c r="BJ60" s="193"/>
      <c r="BK60" s="272"/>
      <c r="BL60" s="175"/>
      <c r="BR60" s="135">
        <v>613</v>
      </c>
      <c r="BS60" s="135" t="s">
        <v>2697</v>
      </c>
      <c r="CI60" s="135" t="s">
        <v>1633</v>
      </c>
      <c r="CJ60" s="135" t="s">
        <v>1634</v>
      </c>
      <c r="CL60" s="135" t="s">
        <v>1255</v>
      </c>
      <c r="CM60" s="156" t="e">
        <f>VLOOKUP($G$10,$CL$8:$CW$55,6,FALSE)</f>
        <v>#N/A</v>
      </c>
      <c r="CO60" s="156">
        <f t="shared" ref="CO60:CR62" si="34">IFERROR(VLOOKUP(G16,$CL$59:$CM$62,2,FALSE),0)</f>
        <v>0</v>
      </c>
      <c r="CP60" s="156">
        <f t="shared" si="34"/>
        <v>0</v>
      </c>
      <c r="CQ60" s="156">
        <f t="shared" si="34"/>
        <v>0</v>
      </c>
      <c r="CR60" s="156">
        <f t="shared" si="34"/>
        <v>0</v>
      </c>
      <c r="CS60" s="156"/>
      <c r="DU60" s="181" t="s">
        <v>1210</v>
      </c>
      <c r="DV60" s="182" t="s">
        <v>1148</v>
      </c>
      <c r="DW60" s="135" t="s">
        <v>1598</v>
      </c>
      <c r="DX60" s="200">
        <f t="shared" si="13"/>
        <v>14.375</v>
      </c>
      <c r="DY60" s="135">
        <v>11.5</v>
      </c>
      <c r="ET60" s="135" t="s">
        <v>2884</v>
      </c>
      <c r="EU60" s="135" t="s">
        <v>2961</v>
      </c>
      <c r="EY60" s="135" t="s">
        <v>2655</v>
      </c>
      <c r="EZ60" s="135" t="s">
        <v>2953</v>
      </c>
      <c r="FA60" s="135" t="s">
        <v>47</v>
      </c>
      <c r="FB60" s="135" t="str">
        <f t="shared" si="7"/>
        <v>8vgVPT</v>
      </c>
      <c r="FC60" s="156">
        <f>VLOOKUP(EZ60,'Tarieven VPT'!$D$6:$I$113,6,FALSE)</f>
        <v>302.03622393979742</v>
      </c>
      <c r="FD60" s="156">
        <f t="shared" si="30"/>
        <v>2114.2535675785821</v>
      </c>
    </row>
    <row r="61" spans="2:166" ht="19.5" hidden="1" thickBot="1" x14ac:dyDescent="0.35">
      <c r="B61" s="291">
        <f t="shared" si="33"/>
        <v>1</v>
      </c>
      <c r="D61" s="291">
        <f t="shared" si="32"/>
        <v>2</v>
      </c>
      <c r="E61" s="291">
        <f t="shared" si="31"/>
        <v>3</v>
      </c>
      <c r="J61" s="291" t="s">
        <v>2756</v>
      </c>
      <c r="L61" s="113">
        <f ca="1">IF($T$19-$I$33&gt;0,1,0)</f>
        <v>0</v>
      </c>
      <c r="AJ61" s="135" t="s">
        <v>2856</v>
      </c>
      <c r="AX61" s="165" t="s">
        <v>1753</v>
      </c>
      <c r="AY61" s="135" t="s">
        <v>492</v>
      </c>
      <c r="AZ61" s="206">
        <f>VLOOKUP(AY61,'Tarieven ZIN prestaties'!$B$1:$D$84,2,FALSE)</f>
        <v>62.59</v>
      </c>
      <c r="BA61" s="207"/>
      <c r="BH61" s="233"/>
      <c r="BI61" s="193"/>
      <c r="BJ61" s="193"/>
      <c r="BK61" s="272"/>
      <c r="BL61" s="175"/>
      <c r="BR61" s="135">
        <v>614</v>
      </c>
      <c r="BS61" s="135" t="s">
        <v>2697</v>
      </c>
      <c r="CI61" s="135" t="s">
        <v>1631</v>
      </c>
      <c r="CJ61" s="135" t="s">
        <v>1554</v>
      </c>
      <c r="CL61" s="135" t="s">
        <v>1542</v>
      </c>
      <c r="CM61" s="156" t="e">
        <f>VLOOKUP($G$10,$CL$8:$CW$55,8,FALSE)</f>
        <v>#N/A</v>
      </c>
      <c r="CO61" s="156">
        <f t="shared" si="34"/>
        <v>0</v>
      </c>
      <c r="CP61" s="156">
        <f t="shared" si="34"/>
        <v>0</v>
      </c>
      <c r="CQ61" s="156">
        <f t="shared" si="34"/>
        <v>0</v>
      </c>
      <c r="CR61" s="156">
        <f t="shared" si="34"/>
        <v>0</v>
      </c>
      <c r="CS61" s="156"/>
      <c r="DU61" s="181" t="s">
        <v>1211</v>
      </c>
      <c r="DV61" s="182" t="s">
        <v>1148</v>
      </c>
      <c r="DW61" s="135" t="s">
        <v>1598</v>
      </c>
      <c r="DX61" s="200">
        <f t="shared" si="13"/>
        <v>20</v>
      </c>
      <c r="DY61" s="135">
        <v>16</v>
      </c>
      <c r="ET61" s="135" t="s">
        <v>2889</v>
      </c>
      <c r="EU61" s="135" t="s">
        <v>2966</v>
      </c>
      <c r="EY61" s="135" t="s">
        <v>2691</v>
      </c>
      <c r="EZ61" s="135" t="s">
        <v>2782</v>
      </c>
      <c r="FA61" s="135" t="s">
        <v>47</v>
      </c>
      <c r="FB61" s="135" t="str">
        <f t="shared" si="7"/>
        <v>1lvgVPT</v>
      </c>
      <c r="FC61" s="156">
        <f>VLOOKUP(EZ61,'Tarieven VPT'!$D$6:$I$113,6,FALSE)</f>
        <v>181.71156252222264</v>
      </c>
      <c r="FD61" s="156">
        <f t="shared" si="30"/>
        <v>1271.9809376555584</v>
      </c>
    </row>
    <row r="62" spans="2:166" ht="19.5" hidden="1" thickBot="1" x14ac:dyDescent="0.35">
      <c r="B62" s="291">
        <f t="shared" si="33"/>
        <v>1</v>
      </c>
      <c r="D62" s="291">
        <f t="shared" si="32"/>
        <v>2</v>
      </c>
      <c r="E62" s="291">
        <f t="shared" si="31"/>
        <v>3</v>
      </c>
      <c r="L62" s="113">
        <f ca="1">SUM(L60:L61)</f>
        <v>1</v>
      </c>
      <c r="AJ62" s="135" t="s">
        <v>2857</v>
      </c>
      <c r="AX62" s="165" t="s">
        <v>1754</v>
      </c>
      <c r="AY62" s="135" t="s">
        <v>518</v>
      </c>
      <c r="AZ62" s="206">
        <f>VLOOKUP(AY62,'Tarieven ZIN prestaties'!$B$1:$D$84,2,FALSE)</f>
        <v>68.64</v>
      </c>
      <c r="BA62" s="207"/>
      <c r="BH62" s="233"/>
      <c r="BI62" s="193"/>
      <c r="BJ62" s="193"/>
      <c r="BK62" s="272"/>
      <c r="BL62" s="175"/>
      <c r="BR62" s="135">
        <v>615</v>
      </c>
      <c r="BS62" s="135" t="s">
        <v>2697</v>
      </c>
      <c r="CI62" s="135" t="s">
        <v>1598</v>
      </c>
      <c r="CL62" s="135" t="s">
        <v>1543</v>
      </c>
      <c r="CM62" s="156" t="e">
        <f>VLOOKUP($G$10,$CL$8:$CW$55,10,FALSE)</f>
        <v>#N/A</v>
      </c>
      <c r="CO62" s="156">
        <f t="shared" si="34"/>
        <v>0</v>
      </c>
      <c r="CP62" s="156">
        <f t="shared" si="34"/>
        <v>0</v>
      </c>
      <c r="CQ62" s="156">
        <f t="shared" si="34"/>
        <v>0</v>
      </c>
      <c r="CR62" s="156">
        <f t="shared" si="34"/>
        <v>0</v>
      </c>
      <c r="CS62" s="156"/>
      <c r="DU62" s="181" t="s">
        <v>1212</v>
      </c>
      <c r="DV62" s="182" t="s">
        <v>1148</v>
      </c>
      <c r="DW62" s="135" t="s">
        <v>1598</v>
      </c>
      <c r="DX62" s="200">
        <f t="shared" si="13"/>
        <v>28.75</v>
      </c>
      <c r="DY62" s="135">
        <v>23</v>
      </c>
      <c r="ET62" s="135" t="s">
        <v>2875</v>
      </c>
      <c r="EU62" s="135" t="s">
        <v>2791</v>
      </c>
      <c r="EY62" s="135" t="s">
        <v>2692</v>
      </c>
      <c r="EZ62" s="135" t="s">
        <v>2783</v>
      </c>
      <c r="FA62" s="135" t="s">
        <v>47</v>
      </c>
      <c r="FB62" s="135" t="str">
        <f t="shared" si="7"/>
        <v>2lvgVPT</v>
      </c>
      <c r="FC62" s="156">
        <f>VLOOKUP(EZ62,'Tarieven VPT'!$D$6:$I$113,6,FALSE)</f>
        <v>223.02982540497803</v>
      </c>
      <c r="FD62" s="156">
        <f t="shared" si="30"/>
        <v>1561.2087778348462</v>
      </c>
    </row>
    <row r="63" spans="2:166" ht="19.5" hidden="1" thickBot="1" x14ac:dyDescent="0.35">
      <c r="B63" s="291">
        <f t="shared" si="33"/>
        <v>1</v>
      </c>
      <c r="D63" s="291">
        <f t="shared" si="32"/>
        <v>2</v>
      </c>
      <c r="N63" s="113">
        <f ca="1">IF(I33&gt;P65,P65,I33)</f>
        <v>0</v>
      </c>
      <c r="AJ63" s="135" t="s">
        <v>2858</v>
      </c>
      <c r="AX63" s="165" t="s">
        <v>1755</v>
      </c>
      <c r="AY63" s="135" t="s">
        <v>560</v>
      </c>
      <c r="AZ63" s="206">
        <f>VLOOKUP(AY63,'Tarieven ZIN prestaties'!$B$1:$D$84,2,FALSE)</f>
        <v>76.47</v>
      </c>
      <c r="BA63" s="207"/>
      <c r="BH63" s="233"/>
      <c r="BI63" s="193"/>
      <c r="BJ63" s="193"/>
      <c r="BK63" s="272"/>
      <c r="BL63" s="175"/>
      <c r="BR63" s="135">
        <v>616</v>
      </c>
      <c r="BS63" s="135" t="s">
        <v>2697</v>
      </c>
      <c r="CO63" s="156"/>
      <c r="CP63" s="156"/>
      <c r="CQ63" s="156"/>
      <c r="CR63" s="156"/>
      <c r="CS63" s="156"/>
      <c r="DU63" s="181" t="s">
        <v>1213</v>
      </c>
      <c r="DV63" s="182" t="s">
        <v>1148</v>
      </c>
      <c r="DW63" s="135" t="s">
        <v>1631</v>
      </c>
      <c r="DX63" s="200">
        <f t="shared" si="13"/>
        <v>32.5</v>
      </c>
      <c r="DY63" s="275">
        <v>26</v>
      </c>
      <c r="ET63" s="135" t="s">
        <v>2880</v>
      </c>
      <c r="EU63" s="135" t="s">
        <v>2957</v>
      </c>
      <c r="EY63" s="135" t="s">
        <v>2693</v>
      </c>
      <c r="EZ63" s="135" t="s">
        <v>2784</v>
      </c>
      <c r="FA63" s="135" t="s">
        <v>47</v>
      </c>
      <c r="FB63" s="135" t="str">
        <f t="shared" si="7"/>
        <v>3lvgVPT</v>
      </c>
      <c r="FC63" s="156">
        <f>VLOOKUP(EZ63,'Tarieven VPT'!$D$6:$I$113,6,FALSE)</f>
        <v>288.0679873296308</v>
      </c>
      <c r="FD63" s="156">
        <f t="shared" si="30"/>
        <v>2016.4759113074156</v>
      </c>
    </row>
    <row r="64" spans="2:166" ht="19.5" hidden="1" thickBot="1" x14ac:dyDescent="0.35">
      <c r="B64" s="291">
        <f t="shared" si="33"/>
        <v>1</v>
      </c>
      <c r="D64" s="291">
        <f>IF(E19="",1,0)</f>
        <v>1</v>
      </c>
      <c r="N64" s="113">
        <f ca="1">IF(AND(I40=0,I33&gt;1),I33,0)</f>
        <v>0</v>
      </c>
      <c r="P64" s="35"/>
      <c r="AJ64" s="135" t="s">
        <v>2859</v>
      </c>
      <c r="AX64" s="165" t="s">
        <v>1756</v>
      </c>
      <c r="AY64" s="135" t="s">
        <v>510</v>
      </c>
      <c r="AZ64" s="206">
        <f>VLOOKUP(AY64,'Tarieven ZIN prestaties'!$B$1:$D$84,2,FALSE)</f>
        <v>88.62</v>
      </c>
      <c r="BA64" s="207"/>
      <c r="BH64" s="233"/>
      <c r="BI64" s="193"/>
      <c r="BJ64" s="193"/>
      <c r="BK64" s="272"/>
      <c r="BL64" s="175"/>
      <c r="BR64" s="135">
        <v>617</v>
      </c>
      <c r="BS64" s="135" t="s">
        <v>2697</v>
      </c>
      <c r="DU64" s="181" t="s">
        <v>1205</v>
      </c>
      <c r="DV64" s="182" t="s">
        <v>1148</v>
      </c>
      <c r="DW64" s="135" t="s">
        <v>1598</v>
      </c>
      <c r="DX64" s="200">
        <f t="shared" si="13"/>
        <v>15.625</v>
      </c>
      <c r="DY64" s="135">
        <v>12.5</v>
      </c>
      <c r="ET64" s="135" t="s">
        <v>2885</v>
      </c>
      <c r="EU64" s="135" t="s">
        <v>2962</v>
      </c>
      <c r="EY64" s="135" t="s">
        <v>2694</v>
      </c>
      <c r="EZ64" s="135" t="s">
        <v>2785</v>
      </c>
      <c r="FA64" s="135" t="s">
        <v>47</v>
      </c>
      <c r="FB64" s="135" t="str">
        <f t="shared" si="7"/>
        <v>4lvgVPT</v>
      </c>
      <c r="FC64" s="156">
        <f>VLOOKUP(EZ64,'Tarieven VPT'!$D$6:$I$113,6,FALSE)</f>
        <v>336.20734898974183</v>
      </c>
      <c r="FD64" s="156">
        <f t="shared" si="30"/>
        <v>2353.4514429281926</v>
      </c>
    </row>
    <row r="65" spans="2:160" ht="19.5" hidden="1" thickBot="1" x14ac:dyDescent="0.35">
      <c r="B65" s="291">
        <f>IF(E18="",1,0)</f>
        <v>1</v>
      </c>
      <c r="H65" s="296"/>
      <c r="P65" s="35">
        <f ca="1">IF($T$19-$I$33&gt;0,$I$33,$T$19)</f>
        <v>0</v>
      </c>
      <c r="AJ65" s="135" t="s">
        <v>2860</v>
      </c>
      <c r="AX65" s="165" t="s">
        <v>1757</v>
      </c>
      <c r="AY65" s="135" t="s">
        <v>554</v>
      </c>
      <c r="AZ65" s="206">
        <f>VLOOKUP(AY65,'Tarieven ZIN prestaties'!$B$1:$D$84,2,FALSE)</f>
        <v>106.72</v>
      </c>
      <c r="BA65" s="207"/>
      <c r="BH65" s="233"/>
      <c r="BI65" s="193"/>
      <c r="BJ65" s="193"/>
      <c r="BK65" s="272"/>
      <c r="BL65" s="175"/>
      <c r="BR65" s="135">
        <v>618</v>
      </c>
      <c r="BS65" s="135" t="s">
        <v>2697</v>
      </c>
      <c r="DU65" s="181" t="s">
        <v>1206</v>
      </c>
      <c r="DV65" s="182" t="s">
        <v>1148</v>
      </c>
      <c r="DW65" s="135" t="s">
        <v>1598</v>
      </c>
      <c r="DX65" s="200">
        <f t="shared" si="13"/>
        <v>36.875</v>
      </c>
      <c r="DY65" s="135">
        <v>29.5</v>
      </c>
      <c r="ET65" s="135" t="s">
        <v>2890</v>
      </c>
      <c r="EU65" s="135" t="s">
        <v>2967</v>
      </c>
      <c r="EY65" s="135" t="s">
        <v>2695</v>
      </c>
      <c r="EZ65" s="135" t="s">
        <v>2786</v>
      </c>
      <c r="FA65" s="135" t="s">
        <v>47</v>
      </c>
      <c r="FB65" s="135" t="str">
        <f t="shared" si="7"/>
        <v>5lvgVPT</v>
      </c>
      <c r="FC65" s="156">
        <f>VLOOKUP(EZ65,'Tarieven VPT'!$D$6:$I$113,6,FALSE)</f>
        <v>318.4879602792123</v>
      </c>
      <c r="FD65" s="156">
        <f t="shared" si="30"/>
        <v>2229.4157219544859</v>
      </c>
    </row>
    <row r="66" spans="2:160" ht="19.5" hidden="1" thickBot="1" x14ac:dyDescent="0.35">
      <c r="H66" s="296"/>
      <c r="N66" s="113">
        <f ca="1">IF(N65=2,N64,N63)</f>
        <v>0</v>
      </c>
      <c r="AJ66" s="135" t="s">
        <v>2861</v>
      </c>
      <c r="AX66" s="165" t="s">
        <v>1640</v>
      </c>
      <c r="AY66" s="135" t="s">
        <v>405</v>
      </c>
      <c r="AZ66" s="206">
        <f>VLOOKUP(AY66,'Tarieven ZIN prestaties'!$B$1:$D$84,2,FALSE)</f>
        <v>78.67</v>
      </c>
      <c r="BA66" s="207"/>
      <c r="BH66" s="233"/>
      <c r="BI66" s="193"/>
      <c r="BJ66" s="193"/>
      <c r="BK66" s="272"/>
      <c r="BL66" s="175"/>
      <c r="BR66" s="135">
        <v>619</v>
      </c>
      <c r="BS66" s="135" t="s">
        <v>2697</v>
      </c>
      <c r="DU66" s="181" t="s">
        <v>1207</v>
      </c>
      <c r="DV66" s="182" t="s">
        <v>1148</v>
      </c>
      <c r="DW66" s="135" t="s">
        <v>1631</v>
      </c>
      <c r="DX66" s="200">
        <f t="shared" si="13"/>
        <v>43.75</v>
      </c>
      <c r="DY66" s="275">
        <v>35</v>
      </c>
      <c r="ET66" s="135" t="s">
        <v>2876</v>
      </c>
      <c r="EU66" s="135" t="s">
        <v>2792</v>
      </c>
      <c r="EY66" s="135" t="s">
        <v>2673</v>
      </c>
      <c r="EZ66" s="135" t="s">
        <v>2787</v>
      </c>
      <c r="FA66" s="135" t="s">
        <v>47</v>
      </c>
      <c r="FB66" s="135" t="str">
        <f t="shared" si="7"/>
        <v>1sglvgVPT</v>
      </c>
      <c r="FC66" s="156">
        <f>VLOOKUP(EZ66,'Tarieven VPT'!$D$6:$I$113,6,FALSE)</f>
        <v>348.95</v>
      </c>
      <c r="FD66" s="156">
        <f t="shared" si="30"/>
        <v>2442.65</v>
      </c>
    </row>
    <row r="67" spans="2:160" ht="19.5" hidden="1" thickBot="1" x14ac:dyDescent="0.35">
      <c r="B67" s="291">
        <f t="shared" ref="B67:B76" si="35">IF($E$21=E22,4,0)</f>
        <v>4</v>
      </c>
      <c r="C67" s="291">
        <f t="shared" ref="C67:C75" si="36">IF($E$22=E23,5,0)</f>
        <v>5</v>
      </c>
      <c r="D67" s="291">
        <f t="shared" ref="D67:D74" si="37">IF($E$23=E24,6,0)</f>
        <v>6</v>
      </c>
      <c r="E67" s="291">
        <f t="shared" ref="E67:E73" si="38">IF($E$24=E25,7,0)</f>
        <v>7</v>
      </c>
      <c r="H67" s="296"/>
      <c r="N67" s="113">
        <f ca="1">IF(N66&gt;P65,P65,N66)</f>
        <v>0</v>
      </c>
      <c r="AJ67" s="135" t="s">
        <v>2862</v>
      </c>
      <c r="AX67" s="165" t="s">
        <v>1641</v>
      </c>
      <c r="AY67" s="135" t="s">
        <v>417</v>
      </c>
      <c r="AZ67" s="206">
        <f>VLOOKUP(AY67,'Tarieven ZIN prestaties'!$B$1:$D$84,2,FALSE)</f>
        <v>85.81</v>
      </c>
      <c r="BA67" s="207"/>
      <c r="BH67" s="233"/>
      <c r="BI67" s="193"/>
      <c r="BJ67" s="193"/>
      <c r="BK67" s="272"/>
      <c r="BL67" s="175"/>
      <c r="BR67" s="135">
        <v>620</v>
      </c>
      <c r="BS67" s="135" t="s">
        <v>2697</v>
      </c>
      <c r="DU67" s="181" t="s">
        <v>1208</v>
      </c>
      <c r="DV67" s="182" t="s">
        <v>1148</v>
      </c>
      <c r="DW67" s="135" t="s">
        <v>1598</v>
      </c>
      <c r="DX67" s="200">
        <f t="shared" si="13"/>
        <v>26.25</v>
      </c>
      <c r="DY67" s="135">
        <v>21</v>
      </c>
      <c r="ET67" s="135" t="s">
        <v>2881</v>
      </c>
      <c r="EU67" s="135" t="s">
        <v>2958</v>
      </c>
      <c r="EY67" s="135" t="s">
        <v>2666</v>
      </c>
      <c r="EZ67" s="135" t="s">
        <v>2954</v>
      </c>
      <c r="FA67" s="135" t="s">
        <v>47</v>
      </c>
      <c r="FB67" s="135" t="str">
        <f t="shared" si="7"/>
        <v>1lgVPT</v>
      </c>
      <c r="FC67" s="156">
        <f>VLOOKUP(EZ67,'Tarieven VPT'!$D$6:$I$113,6,FALSE)</f>
        <v>137.48513266821516</v>
      </c>
      <c r="FD67" s="156">
        <f t="shared" si="30"/>
        <v>962.39592867750616</v>
      </c>
    </row>
    <row r="68" spans="2:160" ht="19.5" hidden="1" thickBot="1" x14ac:dyDescent="0.35">
      <c r="B68" s="291">
        <f t="shared" si="35"/>
        <v>4</v>
      </c>
      <c r="C68" s="291">
        <f t="shared" si="36"/>
        <v>5</v>
      </c>
      <c r="D68" s="291">
        <f t="shared" si="37"/>
        <v>6</v>
      </c>
      <c r="E68" s="291">
        <f t="shared" si="38"/>
        <v>7</v>
      </c>
      <c r="H68" s="296"/>
      <c r="AJ68" s="135" t="s">
        <v>2863</v>
      </c>
      <c r="AX68" s="165" t="s">
        <v>1642</v>
      </c>
      <c r="AY68" s="135" t="s">
        <v>407</v>
      </c>
      <c r="AZ68" s="206">
        <f>VLOOKUP(AY68,'Tarieven ZIN prestaties'!$B$1:$D$84,2,FALSE)</f>
        <v>90.2</v>
      </c>
      <c r="BA68" s="207"/>
      <c r="BH68" s="233"/>
      <c r="BI68" s="193"/>
      <c r="BJ68" s="193"/>
      <c r="BK68" s="272"/>
      <c r="BL68" s="175"/>
      <c r="BR68" s="135">
        <v>621</v>
      </c>
      <c r="BS68" s="135" t="s">
        <v>2697</v>
      </c>
      <c r="DU68" s="181" t="s">
        <v>1223</v>
      </c>
      <c r="DV68" s="182" t="s">
        <v>1244</v>
      </c>
      <c r="DW68" s="135" t="s">
        <v>1598</v>
      </c>
      <c r="DX68" s="200">
        <f t="shared" si="13"/>
        <v>35.625</v>
      </c>
      <c r="DY68" s="135">
        <v>28.5</v>
      </c>
      <c r="ET68" s="135" t="s">
        <v>2886</v>
      </c>
      <c r="EU68" s="135" t="s">
        <v>2963</v>
      </c>
      <c r="EY68" s="135" t="s">
        <v>2667</v>
      </c>
      <c r="EZ68" s="135" t="s">
        <v>2955</v>
      </c>
      <c r="FA68" s="135" t="s">
        <v>47</v>
      </c>
      <c r="FB68" s="135" t="str">
        <f t="shared" si="7"/>
        <v>2lgVPT</v>
      </c>
      <c r="FC68" s="156">
        <f>VLOOKUP(EZ68,'Tarieven VPT'!$D$6:$I$113,6,FALSE)</f>
        <v>163.83821857130852</v>
      </c>
      <c r="FD68" s="156">
        <f t="shared" si="30"/>
        <v>1146.8675299991596</v>
      </c>
    </row>
    <row r="69" spans="2:160" ht="19.5" hidden="1" thickBot="1" x14ac:dyDescent="0.35">
      <c r="B69" s="291">
        <f t="shared" si="35"/>
        <v>4</v>
      </c>
      <c r="C69" s="291">
        <f t="shared" si="36"/>
        <v>5</v>
      </c>
      <c r="D69" s="291">
        <f t="shared" si="37"/>
        <v>6</v>
      </c>
      <c r="E69" s="291">
        <f t="shared" si="38"/>
        <v>7</v>
      </c>
      <c r="H69" s="296">
        <f ca="1">I32+I33</f>
        <v>0</v>
      </c>
      <c r="AJ69" s="135" t="s">
        <v>1164</v>
      </c>
      <c r="AX69" s="165" t="s">
        <v>1758</v>
      </c>
      <c r="AY69" s="135" t="s">
        <v>542</v>
      </c>
      <c r="AZ69" s="206">
        <f>VLOOKUP(AY69,'Tarieven ZIN prestaties'!$B$1:$D$84,2,FALSE)</f>
        <v>53.52</v>
      </c>
      <c r="BA69" s="207"/>
      <c r="BH69" s="233"/>
      <c r="BI69" s="193"/>
      <c r="BJ69" s="193"/>
      <c r="BK69" s="272"/>
      <c r="BL69" s="175"/>
      <c r="BR69" s="135">
        <v>622</v>
      </c>
      <c r="BS69" s="135" t="s">
        <v>2697</v>
      </c>
      <c r="DU69" s="181" t="s">
        <v>1214</v>
      </c>
      <c r="DV69" s="182" t="s">
        <v>1244</v>
      </c>
      <c r="DW69" s="135" t="s">
        <v>1598</v>
      </c>
      <c r="DX69" s="200">
        <f t="shared" si="13"/>
        <v>5.625</v>
      </c>
      <c r="DY69" s="135">
        <v>4.5</v>
      </c>
      <c r="ET69" s="135" t="s">
        <v>2891</v>
      </c>
      <c r="EU69" s="135" t="s">
        <v>2968</v>
      </c>
      <c r="EY69" s="135" t="s">
        <v>2668</v>
      </c>
      <c r="EZ69" s="135" t="s">
        <v>2966</v>
      </c>
      <c r="FA69" s="135" t="s">
        <v>47</v>
      </c>
      <c r="FB69" s="135" t="str">
        <f t="shared" si="7"/>
        <v>3lgVPT</v>
      </c>
      <c r="FC69" s="156">
        <f>VLOOKUP(EZ69,'Tarieven VPT'!$D$6:$I$113,6,FALSE)</f>
        <v>170.01794389718569</v>
      </c>
      <c r="FD69" s="156">
        <f t="shared" si="30"/>
        <v>1190.1256072802998</v>
      </c>
    </row>
    <row r="70" spans="2:160" ht="19.5" hidden="1" thickBot="1" x14ac:dyDescent="0.35">
      <c r="B70" s="291">
        <f t="shared" si="35"/>
        <v>4</v>
      </c>
      <c r="C70" s="291">
        <f t="shared" si="36"/>
        <v>5</v>
      </c>
      <c r="D70" s="291">
        <f t="shared" si="37"/>
        <v>6</v>
      </c>
      <c r="E70" s="291">
        <f t="shared" si="38"/>
        <v>7</v>
      </c>
      <c r="H70" s="296">
        <f ca="1">IF(H69&gt;M6-M8,1,2)</f>
        <v>2</v>
      </c>
      <c r="AJ70" s="135" t="s">
        <v>2864</v>
      </c>
      <c r="AX70" s="165" t="s">
        <v>1759</v>
      </c>
      <c r="AY70" s="135" t="s">
        <v>532</v>
      </c>
      <c r="AZ70" s="206">
        <f>VLOOKUP(AY70,'Tarieven ZIN prestaties'!$B$1:$D$84,2,FALSE)</f>
        <v>64.430000000000007</v>
      </c>
      <c r="BA70" s="207"/>
      <c r="BH70" s="233"/>
      <c r="BI70" s="193"/>
      <c r="BJ70" s="193"/>
      <c r="BK70" s="272"/>
      <c r="BL70" s="175"/>
      <c r="BR70" s="135">
        <v>623</v>
      </c>
      <c r="BS70" s="135" t="s">
        <v>2697</v>
      </c>
      <c r="DU70" s="181" t="s">
        <v>1215</v>
      </c>
      <c r="DV70" s="182" t="s">
        <v>1244</v>
      </c>
      <c r="DW70" s="135" t="s">
        <v>1598</v>
      </c>
      <c r="DX70" s="200">
        <f t="shared" si="13"/>
        <v>8.75</v>
      </c>
      <c r="DY70" s="135">
        <v>7</v>
      </c>
      <c r="ET70" s="135" t="s">
        <v>2877</v>
      </c>
      <c r="EU70" s="135" t="s">
        <v>2793</v>
      </c>
      <c r="EY70" s="135" t="s">
        <v>2669</v>
      </c>
      <c r="EZ70" s="135" t="s">
        <v>2967</v>
      </c>
      <c r="FA70" s="135" t="s">
        <v>47</v>
      </c>
      <c r="FB70" s="135" t="str">
        <f t="shared" si="7"/>
        <v>4lgVPT</v>
      </c>
      <c r="FC70" s="156">
        <f>VLOOKUP(EZ70,'Tarieven VPT'!$D$6:$I$113,6,FALSE)</f>
        <v>212.40177719969586</v>
      </c>
      <c r="FD70" s="156">
        <f t="shared" si="30"/>
        <v>1486.8124403978709</v>
      </c>
    </row>
    <row r="71" spans="2:160" ht="19.5" hidden="1" thickBot="1" x14ac:dyDescent="0.35">
      <c r="B71" s="291">
        <f t="shared" si="35"/>
        <v>4</v>
      </c>
      <c r="C71" s="291">
        <f t="shared" si="36"/>
        <v>5</v>
      </c>
      <c r="D71" s="291">
        <f t="shared" si="37"/>
        <v>6</v>
      </c>
      <c r="E71" s="291">
        <f t="shared" si="38"/>
        <v>7</v>
      </c>
      <c r="H71" s="296">
        <f ca="1">IF(I32&gt;M6-M8,5,6)</f>
        <v>6</v>
      </c>
      <c r="J71" s="291">
        <v>6</v>
      </c>
      <c r="K71" s="292">
        <f>M6-M8</f>
        <v>0</v>
      </c>
      <c r="AJ71" s="135" t="s">
        <v>2865</v>
      </c>
      <c r="AX71" s="165" t="s">
        <v>1760</v>
      </c>
      <c r="AY71" s="135" t="s">
        <v>498</v>
      </c>
      <c r="AZ71" s="206">
        <f>VLOOKUP(AY71,'Tarieven ZIN prestaties'!$B$1:$D$84,2,FALSE)</f>
        <v>76.84</v>
      </c>
      <c r="BA71" s="207"/>
      <c r="BH71" s="233"/>
      <c r="BI71" s="193"/>
      <c r="BJ71" s="193"/>
      <c r="BK71" s="272"/>
      <c r="BL71" s="175"/>
      <c r="BR71" s="135">
        <v>624</v>
      </c>
      <c r="BS71" s="135" t="s">
        <v>2697</v>
      </c>
      <c r="DU71" s="181" t="s">
        <v>1216</v>
      </c>
      <c r="DV71" s="182" t="s">
        <v>1244</v>
      </c>
      <c r="DW71" s="135" t="s">
        <v>1598</v>
      </c>
      <c r="DX71" s="200">
        <f t="shared" si="13"/>
        <v>13.75</v>
      </c>
      <c r="DY71" s="135">
        <v>11</v>
      </c>
      <c r="ET71" s="135" t="s">
        <v>2882</v>
      </c>
      <c r="EU71" s="135" t="s">
        <v>2959</v>
      </c>
      <c r="EY71" s="135" t="s">
        <v>2670</v>
      </c>
      <c r="EZ71" s="135" t="s">
        <v>2968</v>
      </c>
      <c r="FA71" s="135" t="s">
        <v>47</v>
      </c>
      <c r="FB71" s="135" t="str">
        <f t="shared" si="7"/>
        <v>5lgVPT</v>
      </c>
      <c r="FC71" s="156">
        <f>VLOOKUP(EZ71,'Tarieven VPT'!$D$6:$I$113,6,FALSE)</f>
        <v>237.09812003179636</v>
      </c>
      <c r="FD71" s="156">
        <f t="shared" si="30"/>
        <v>1659.6868402225746</v>
      </c>
    </row>
    <row r="72" spans="2:160" ht="19.5" hidden="1" thickBot="1" x14ac:dyDescent="0.35">
      <c r="B72" s="291">
        <f t="shared" si="35"/>
        <v>4</v>
      </c>
      <c r="C72" s="291">
        <f t="shared" si="36"/>
        <v>5</v>
      </c>
      <c r="D72" s="291">
        <f t="shared" si="37"/>
        <v>6</v>
      </c>
      <c r="E72" s="291">
        <f t="shared" si="38"/>
        <v>7</v>
      </c>
      <c r="H72" s="296"/>
      <c r="J72" s="291">
        <v>7</v>
      </c>
      <c r="K72" s="292">
        <f>M6-M8</f>
        <v>0</v>
      </c>
      <c r="AJ72" s="135" t="s">
        <v>2866</v>
      </c>
      <c r="AX72" s="165" t="s">
        <v>1761</v>
      </c>
      <c r="AY72" s="135" t="s">
        <v>530</v>
      </c>
      <c r="AZ72" s="206">
        <f>VLOOKUP(AY72,'Tarieven ZIN prestaties'!$B$1:$D$84,2,FALSE)</f>
        <v>81.94</v>
      </c>
      <c r="BA72" s="207"/>
      <c r="BH72" s="233"/>
      <c r="BI72" s="193"/>
      <c r="BJ72" s="193"/>
      <c r="BK72" s="272"/>
      <c r="BL72" s="175"/>
      <c r="BR72" s="135">
        <v>625</v>
      </c>
      <c r="BS72" s="135" t="s">
        <v>2697</v>
      </c>
      <c r="DU72" s="181" t="s">
        <v>1217</v>
      </c>
      <c r="DV72" s="182" t="s">
        <v>1244</v>
      </c>
      <c r="DW72" s="135" t="s">
        <v>1598</v>
      </c>
      <c r="DX72" s="200">
        <f t="shared" si="13"/>
        <v>15.625</v>
      </c>
      <c r="DY72" s="135">
        <v>12.5</v>
      </c>
      <c r="ET72" s="135" t="s">
        <v>2887</v>
      </c>
      <c r="EU72" s="135" t="s">
        <v>2964</v>
      </c>
      <c r="EY72" s="135" t="s">
        <v>2671</v>
      </c>
      <c r="EZ72" s="135" t="s">
        <v>2969</v>
      </c>
      <c r="FA72" s="135" t="s">
        <v>47</v>
      </c>
      <c r="FB72" s="135" t="str">
        <f t="shared" si="7"/>
        <v>6lgVPT</v>
      </c>
      <c r="FC72" s="156">
        <f>VLOOKUP(EZ72,'Tarieven VPT'!$D$6:$I$113,6,FALSE)</f>
        <v>297.57188949870442</v>
      </c>
      <c r="FD72" s="156">
        <f t="shared" si="30"/>
        <v>2083.003226490931</v>
      </c>
    </row>
    <row r="73" spans="2:160" ht="19.5" hidden="1" thickBot="1" x14ac:dyDescent="0.35">
      <c r="B73" s="291">
        <f t="shared" si="35"/>
        <v>4</v>
      </c>
      <c r="C73" s="291">
        <f t="shared" si="36"/>
        <v>5</v>
      </c>
      <c r="D73" s="291">
        <f t="shared" si="37"/>
        <v>6</v>
      </c>
      <c r="E73" s="291">
        <f t="shared" si="38"/>
        <v>7</v>
      </c>
      <c r="H73" s="296">
        <f ca="1">IF(AND(I33&gt;0,I33-M15&gt;0,I35&lt;(M6+M15)),9,0)</f>
        <v>0</v>
      </c>
      <c r="J73" s="291">
        <v>16</v>
      </c>
      <c r="K73" s="292">
        <f ca="1">H69-M15</f>
        <v>0</v>
      </c>
      <c r="AJ73" s="135" t="s">
        <v>2867</v>
      </c>
      <c r="AX73" s="165" t="s">
        <v>1762</v>
      </c>
      <c r="AY73" s="135" t="s">
        <v>516</v>
      </c>
      <c r="AZ73" s="206">
        <f>VLOOKUP(AY73,'Tarieven ZIN prestaties'!$B$1:$D$84,2,FALSE)</f>
        <v>98.93</v>
      </c>
      <c r="BA73" s="207"/>
      <c r="BH73" s="233"/>
      <c r="BI73" s="193"/>
      <c r="BJ73" s="193"/>
      <c r="BK73" s="272"/>
      <c r="BL73" s="175"/>
      <c r="BR73" s="135">
        <v>626</v>
      </c>
      <c r="BS73" s="135" t="s">
        <v>2697</v>
      </c>
      <c r="DU73" s="181" t="s">
        <v>1218</v>
      </c>
      <c r="DV73" s="182" t="s">
        <v>1244</v>
      </c>
      <c r="DW73" s="135" t="s">
        <v>1598</v>
      </c>
      <c r="DX73" s="200">
        <f t="shared" si="13"/>
        <v>21.25</v>
      </c>
      <c r="DY73" s="135">
        <v>17</v>
      </c>
      <c r="ET73" s="135" t="s">
        <v>2892</v>
      </c>
      <c r="EU73" s="135" t="s">
        <v>2969</v>
      </c>
      <c r="EY73" s="135" t="s">
        <v>2672</v>
      </c>
      <c r="EZ73" s="135" t="s">
        <v>2970</v>
      </c>
      <c r="FA73" s="135" t="s">
        <v>47</v>
      </c>
      <c r="FB73" s="135" t="str">
        <f t="shared" ref="FB73:FB82" si="39">CONCATENATE(EY73,FA73)</f>
        <v>7lgVPT</v>
      </c>
      <c r="FC73" s="156">
        <f>VLOOKUP(EZ73,'Tarieven VPT'!$D$6:$I$113,6,FALSE)</f>
        <v>308.92912643792488</v>
      </c>
      <c r="FD73" s="156">
        <f t="shared" si="30"/>
        <v>2162.5038850654742</v>
      </c>
    </row>
    <row r="74" spans="2:160" ht="19.5" hidden="1" thickBot="1" x14ac:dyDescent="0.35">
      <c r="B74" s="291">
        <f t="shared" si="35"/>
        <v>4</v>
      </c>
      <c r="C74" s="291">
        <f t="shared" si="36"/>
        <v>5</v>
      </c>
      <c r="D74" s="291">
        <f t="shared" si="37"/>
        <v>6</v>
      </c>
      <c r="H74" s="296">
        <f ca="1">SUM(H70:H73)</f>
        <v>8</v>
      </c>
      <c r="J74" s="291">
        <v>17</v>
      </c>
      <c r="K74" s="292">
        <f ca="1">I35-I34-I41</f>
        <v>0</v>
      </c>
      <c r="AJ74" s="135" t="s">
        <v>2868</v>
      </c>
      <c r="AX74" s="165" t="s">
        <v>1763</v>
      </c>
      <c r="AY74" s="135" t="s">
        <v>494</v>
      </c>
      <c r="AZ74" s="206">
        <f>VLOOKUP(AY74,'Tarieven ZIN prestaties'!$B$1:$D$84,2,FALSE)</f>
        <v>120.68</v>
      </c>
      <c r="BA74" s="207"/>
      <c r="BI74" s="193"/>
      <c r="BJ74" s="193"/>
      <c r="BK74" s="272"/>
      <c r="BL74" s="175"/>
      <c r="BR74" s="135">
        <v>627</v>
      </c>
      <c r="BS74" s="135" t="s">
        <v>2697</v>
      </c>
      <c r="DU74" s="181" t="s">
        <v>1219</v>
      </c>
      <c r="DV74" s="182" t="s">
        <v>1244</v>
      </c>
      <c r="DW74" s="135" t="s">
        <v>1598</v>
      </c>
      <c r="DX74" s="200">
        <f t="shared" si="13"/>
        <v>21.25</v>
      </c>
      <c r="DY74" s="135">
        <v>17</v>
      </c>
      <c r="ET74" s="135" t="s">
        <v>2878</v>
      </c>
      <c r="EU74" s="135" t="s">
        <v>2794</v>
      </c>
      <c r="EY74" s="135" t="s">
        <v>2679</v>
      </c>
      <c r="EZ74" s="135" t="s">
        <v>2979</v>
      </c>
      <c r="FA74" s="135" t="s">
        <v>47</v>
      </c>
      <c r="FB74" s="135" t="str">
        <f t="shared" si="39"/>
        <v>1zgaudVPT</v>
      </c>
      <c r="FC74" s="156">
        <f>VLOOKUP(EZ74,'Tarieven VPT'!$D$6:$I$113,6,FALSE)</f>
        <v>181.27969869813094</v>
      </c>
      <c r="FD74" s="156">
        <f t="shared" si="30"/>
        <v>1268.9578908869166</v>
      </c>
    </row>
    <row r="75" spans="2:160" ht="19.5" hidden="1" thickBot="1" x14ac:dyDescent="0.35">
      <c r="B75" s="291">
        <f t="shared" si="35"/>
        <v>4</v>
      </c>
      <c r="C75" s="291">
        <f t="shared" si="36"/>
        <v>5</v>
      </c>
      <c r="H75" s="296"/>
      <c r="J75" s="291">
        <v>8</v>
      </c>
      <c r="K75" s="292">
        <f ca="1">I32+I33</f>
        <v>0</v>
      </c>
      <c r="AJ75" s="135" t="s">
        <v>1164</v>
      </c>
      <c r="AX75" s="165" t="s">
        <v>1764</v>
      </c>
      <c r="AY75" s="135" t="s">
        <v>512</v>
      </c>
      <c r="AZ75" s="206">
        <f>VLOOKUP(AY75,'Tarieven ZIN prestaties'!$B$1:$D$84,2,FALSE)</f>
        <v>41.87</v>
      </c>
      <c r="BA75" s="207"/>
      <c r="BI75" s="193"/>
      <c r="BJ75" s="193"/>
      <c r="BK75" s="272"/>
      <c r="BL75" s="175"/>
      <c r="BR75" s="135">
        <v>628</v>
      </c>
      <c r="BS75" s="135" t="s">
        <v>2697</v>
      </c>
      <c r="DU75" s="181" t="s">
        <v>1220</v>
      </c>
      <c r="DV75" s="182" t="s">
        <v>1244</v>
      </c>
      <c r="DW75" s="135" t="s">
        <v>1631</v>
      </c>
      <c r="DX75" s="200">
        <f t="shared" si="13"/>
        <v>28.75</v>
      </c>
      <c r="DY75" s="254">
        <v>23</v>
      </c>
      <c r="ET75" s="135" t="s">
        <v>2883</v>
      </c>
      <c r="EU75" s="135" t="s">
        <v>2960</v>
      </c>
      <c r="EY75" s="135" t="s">
        <v>2681</v>
      </c>
      <c r="EZ75" s="135" t="s">
        <v>2982</v>
      </c>
      <c r="FA75" s="135" t="s">
        <v>47</v>
      </c>
      <c r="FB75" s="135" t="str">
        <f>CONCATENATE(EY75,FA77)</f>
        <v>4zgaudVPT</v>
      </c>
      <c r="FC75" s="156">
        <f>VLOOKUP(EZ75,'Tarieven VPT'!$D$6:$I$113,6,FALSE)</f>
        <v>249.1</v>
      </c>
      <c r="FD75" s="156">
        <f t="shared" si="30"/>
        <v>1743.7</v>
      </c>
    </row>
    <row r="76" spans="2:160" ht="19.5" hidden="1" thickBot="1" x14ac:dyDescent="0.35">
      <c r="B76" s="291">
        <f t="shared" si="35"/>
        <v>4</v>
      </c>
      <c r="H76" s="296"/>
      <c r="J76" s="291">
        <v>9</v>
      </c>
      <c r="K76" s="292">
        <f ca="1">H69-M15</f>
        <v>0</v>
      </c>
      <c r="AJ76" s="135" t="s">
        <v>2869</v>
      </c>
      <c r="AX76" s="165" t="s">
        <v>1765</v>
      </c>
      <c r="AY76" s="135" t="s">
        <v>534</v>
      </c>
      <c r="AZ76" s="206">
        <f>VLOOKUP(AY76,'Tarieven ZIN prestaties'!$B$1:$D$84,2,FALSE)</f>
        <v>47.74</v>
      </c>
      <c r="BA76" s="207"/>
      <c r="BI76" s="193"/>
      <c r="BJ76" s="193"/>
      <c r="BK76" s="272"/>
      <c r="BL76" s="175"/>
      <c r="BR76" s="135">
        <v>629</v>
      </c>
      <c r="BS76" s="135" t="s">
        <v>2697</v>
      </c>
      <c r="DU76" s="181" t="s">
        <v>1221</v>
      </c>
      <c r="DV76" s="182" t="s">
        <v>1244</v>
      </c>
      <c r="DW76" s="135" t="s">
        <v>1631</v>
      </c>
      <c r="DX76" s="200">
        <f t="shared" si="13"/>
        <v>35.625</v>
      </c>
      <c r="DY76" s="254">
        <v>28.5</v>
      </c>
      <c r="ET76" s="135" t="s">
        <v>2888</v>
      </c>
      <c r="EU76" s="135" t="s">
        <v>2965</v>
      </c>
      <c r="EY76" s="135" t="s">
        <v>2687</v>
      </c>
      <c r="EZ76" s="135" t="s">
        <v>2980</v>
      </c>
      <c r="FA76" s="135" t="s">
        <v>47</v>
      </c>
      <c r="FB76" s="135" t="str">
        <f>CONCATENATE(EY76,FA75)</f>
        <v>2zgaudVPT</v>
      </c>
      <c r="FC76" s="156">
        <f>VLOOKUP(EZ76,'Tarieven VPT'!$D$6:$I$113,6,FALSE)</f>
        <v>357.72230033712071</v>
      </c>
      <c r="FD76" s="156">
        <f t="shared" si="30"/>
        <v>2504.0561023598448</v>
      </c>
    </row>
    <row r="77" spans="2:160" ht="19.5" hidden="1" thickBot="1" x14ac:dyDescent="0.35">
      <c r="H77" s="296"/>
      <c r="AJ77" s="135" t="s">
        <v>1164</v>
      </c>
      <c r="AX77" s="165" t="s">
        <v>1766</v>
      </c>
      <c r="AY77" s="135" t="s">
        <v>526</v>
      </c>
      <c r="AZ77" s="206">
        <f>VLOOKUP(AY77,'Tarieven ZIN prestaties'!$B$1:$D$84,2,FALSE)</f>
        <v>52.13</v>
      </c>
      <c r="BA77" s="207"/>
      <c r="BI77" s="193"/>
      <c r="BJ77" s="193"/>
      <c r="BK77" s="272"/>
      <c r="BL77" s="175"/>
      <c r="BR77" s="135">
        <v>630</v>
      </c>
      <c r="BS77" s="135" t="s">
        <v>2697</v>
      </c>
      <c r="DU77" s="181" t="s">
        <v>1596</v>
      </c>
      <c r="DV77" s="182" t="s">
        <v>1244</v>
      </c>
      <c r="DW77" s="135" t="s">
        <v>1598</v>
      </c>
      <c r="DX77" s="200">
        <f t="shared" si="13"/>
        <v>25</v>
      </c>
      <c r="DY77" s="135">
        <v>20</v>
      </c>
      <c r="ET77" s="135" t="s">
        <v>2893</v>
      </c>
      <c r="EU77" s="135" t="s">
        <v>2970</v>
      </c>
      <c r="EY77" s="135" t="s">
        <v>2680</v>
      </c>
      <c r="EZ77" s="135" t="s">
        <v>2981</v>
      </c>
      <c r="FA77" s="135" t="s">
        <v>47</v>
      </c>
      <c r="FB77" s="135" t="str">
        <f>CONCATENATE(EY77,FA76)</f>
        <v>3zgaudVPT</v>
      </c>
      <c r="FC77" s="156">
        <f>VLOOKUP(EZ77,'Tarieven VPT'!$D$6:$I$113,6,FALSE)</f>
        <v>422.18580807984307</v>
      </c>
      <c r="FD77" s="156">
        <f t="shared" si="30"/>
        <v>2955.3006565589017</v>
      </c>
    </row>
    <row r="78" spans="2:160" ht="19.5" hidden="1" thickBot="1" x14ac:dyDescent="0.35">
      <c r="H78" s="296"/>
      <c r="AJ78" s="135" t="s">
        <v>2870</v>
      </c>
      <c r="AX78" s="165" t="s">
        <v>1767</v>
      </c>
      <c r="AY78" s="135" t="s">
        <v>506</v>
      </c>
      <c r="AZ78" s="206">
        <f>VLOOKUP(AY78,'Tarieven ZIN prestaties'!$B$1:$D$84,2,FALSE)</f>
        <v>69.02</v>
      </c>
      <c r="BA78" s="207"/>
      <c r="BI78" s="193"/>
      <c r="BJ78" s="193"/>
      <c r="BK78" s="272"/>
      <c r="BL78" s="175"/>
      <c r="BR78" s="135">
        <v>631</v>
      </c>
      <c r="BS78" s="135" t="s">
        <v>2697</v>
      </c>
      <c r="DU78" s="181" t="s">
        <v>1238</v>
      </c>
      <c r="DV78" s="182" t="s">
        <v>1244</v>
      </c>
      <c r="DW78" s="135" t="s">
        <v>1598</v>
      </c>
      <c r="DX78" s="200">
        <f t="shared" si="13"/>
        <v>20</v>
      </c>
      <c r="DY78" s="135">
        <v>16</v>
      </c>
      <c r="ET78" s="135" t="s">
        <v>2894</v>
      </c>
      <c r="EU78" s="135" t="s">
        <v>2795</v>
      </c>
      <c r="EY78" s="135" t="s">
        <v>2674</v>
      </c>
      <c r="EZ78" s="135" t="s">
        <v>2983</v>
      </c>
      <c r="FA78" s="135" t="s">
        <v>47</v>
      </c>
      <c r="FB78" s="135" t="str">
        <f t="shared" si="39"/>
        <v>1zgvisVPT</v>
      </c>
      <c r="FC78" s="156">
        <f>VLOOKUP(EZ78,'Tarieven VPT'!$D$6:$I$113,6,FALSE)</f>
        <v>128.65</v>
      </c>
      <c r="FD78" s="156">
        <f t="shared" si="30"/>
        <v>900.55000000000007</v>
      </c>
    </row>
    <row r="79" spans="2:160" ht="19.5" hidden="1" thickBot="1" x14ac:dyDescent="0.35">
      <c r="B79" s="291">
        <f t="shared" ref="B79:B84" si="40">IF($E$25=E26,8,0)</f>
        <v>8</v>
      </c>
      <c r="C79" s="291">
        <f>IF($E$26=E27,9,0)</f>
        <v>9</v>
      </c>
      <c r="D79" s="291">
        <f>IF($E$27=E28,10,0)</f>
        <v>10</v>
      </c>
      <c r="E79" s="291">
        <f>IF($E$28=E29,11,0)</f>
        <v>11</v>
      </c>
      <c r="H79" s="296"/>
      <c r="AJ79" s="135" t="s">
        <v>2871</v>
      </c>
      <c r="AX79" s="165" t="s">
        <v>1768</v>
      </c>
      <c r="AY79" s="135" t="s">
        <v>538</v>
      </c>
      <c r="AZ79" s="206">
        <f>VLOOKUP(AY79,'Tarieven ZIN prestaties'!$B$1:$D$84,2,FALSE)</f>
        <v>79.97</v>
      </c>
      <c r="BA79" s="207"/>
      <c r="BI79" s="193"/>
      <c r="BJ79" s="193"/>
      <c r="BK79" s="272"/>
      <c r="BL79" s="175"/>
      <c r="BR79" s="135">
        <v>632</v>
      </c>
      <c r="BS79" s="135" t="s">
        <v>2697</v>
      </c>
      <c r="DU79" s="181" t="s">
        <v>1239</v>
      </c>
      <c r="DV79" s="182" t="s">
        <v>1244</v>
      </c>
      <c r="DW79" s="135" t="s">
        <v>1598</v>
      </c>
      <c r="DX79" s="200">
        <f t="shared" si="13"/>
        <v>24.375</v>
      </c>
      <c r="DY79" s="135">
        <v>19.5</v>
      </c>
      <c r="ET79" s="135" t="s">
        <v>2898</v>
      </c>
      <c r="EU79" s="135" t="s">
        <v>2971</v>
      </c>
      <c r="EY79" s="135" t="s">
        <v>2675</v>
      </c>
      <c r="EZ79" s="135" t="s">
        <v>2984</v>
      </c>
      <c r="FA79" s="135" t="s">
        <v>47</v>
      </c>
      <c r="FB79" s="135" t="str">
        <f t="shared" si="39"/>
        <v>2zgvisVPT</v>
      </c>
      <c r="FC79" s="156">
        <f>VLOOKUP(EZ79,'Tarieven VPT'!$D$6:$I$113,6,FALSE)</f>
        <v>157.12</v>
      </c>
      <c r="FD79" s="156">
        <f t="shared" si="30"/>
        <v>1099.8400000000001</v>
      </c>
    </row>
    <row r="80" spans="2:160" ht="19.5" hidden="1" thickBot="1" x14ac:dyDescent="0.35">
      <c r="B80" s="291">
        <f t="shared" si="40"/>
        <v>8</v>
      </c>
      <c r="C80" s="291">
        <f>IF($E$26=E28,9,0)</f>
        <v>9</v>
      </c>
      <c r="D80" s="291">
        <f>IF($E$27=E29,10,0)</f>
        <v>10</v>
      </c>
      <c r="E80" s="291">
        <f>IF($E$28=E30,11,0)</f>
        <v>11</v>
      </c>
      <c r="H80" s="296"/>
      <c r="AJ80" s="135" t="s">
        <v>2872</v>
      </c>
      <c r="AX80" s="165" t="s">
        <v>1769</v>
      </c>
      <c r="AY80" s="135" t="s">
        <v>496</v>
      </c>
      <c r="AZ80" s="206">
        <f>VLOOKUP(AY80,'Tarieven ZIN prestaties'!$B$1:$D$84,2,FALSE)</f>
        <v>98.13</v>
      </c>
      <c r="BA80" s="207"/>
      <c r="BI80" s="193"/>
      <c r="BJ80" s="193"/>
      <c r="BK80" s="272"/>
      <c r="BL80" s="175"/>
      <c r="BR80" s="135">
        <v>633</v>
      </c>
      <c r="BS80" s="135" t="s">
        <v>2697</v>
      </c>
      <c r="DU80" s="181" t="s">
        <v>1240</v>
      </c>
      <c r="DV80" s="182" t="s">
        <v>1244</v>
      </c>
      <c r="DW80" s="135" t="s">
        <v>1598</v>
      </c>
      <c r="DX80" s="200">
        <f t="shared" si="13"/>
        <v>26.875</v>
      </c>
      <c r="DY80" s="135">
        <v>21.5</v>
      </c>
      <c r="ET80" s="135" t="s">
        <v>2902</v>
      </c>
      <c r="EU80" s="135" t="s">
        <v>2975</v>
      </c>
      <c r="EY80" s="135" t="s">
        <v>2676</v>
      </c>
      <c r="EZ80" s="135" t="s">
        <v>2991</v>
      </c>
      <c r="FA80" s="135" t="s">
        <v>47</v>
      </c>
      <c r="FB80" s="135" t="str">
        <f t="shared" si="39"/>
        <v>3zgvisVPT</v>
      </c>
      <c r="FC80" s="156">
        <f>VLOOKUP(EZ80,'Tarieven VPT'!$D$6:$I$113,6,FALSE)</f>
        <v>195.81</v>
      </c>
      <c r="FD80" s="156">
        <f t="shared" si="30"/>
        <v>1370.67</v>
      </c>
    </row>
    <row r="81" spans="2:160" ht="19.5" hidden="1" thickBot="1" x14ac:dyDescent="0.35">
      <c r="B81" s="291">
        <f t="shared" si="40"/>
        <v>8</v>
      </c>
      <c r="C81" s="291">
        <f>IF($E$26=E29,9,0)</f>
        <v>9</v>
      </c>
      <c r="D81" s="291">
        <f>IF($E$27=E30,10,0)</f>
        <v>10</v>
      </c>
      <c r="E81" s="291">
        <f>IF($E$28=E31,11,0)</f>
        <v>11</v>
      </c>
      <c r="H81" s="296"/>
      <c r="AJ81" s="135" t="s">
        <v>2873</v>
      </c>
      <c r="AX81" s="165" t="s">
        <v>1643</v>
      </c>
      <c r="AY81" s="135" t="s">
        <v>415</v>
      </c>
      <c r="AZ81" s="206">
        <f>VLOOKUP(AY81,'Tarieven ZIN prestaties'!$B$1:$D$84,2,FALSE)</f>
        <v>139.54</v>
      </c>
      <c r="BA81" s="207"/>
      <c r="BI81" s="193"/>
      <c r="BJ81" s="193"/>
      <c r="BK81" s="272"/>
      <c r="BL81" s="175"/>
      <c r="BR81" s="135">
        <v>634</v>
      </c>
      <c r="BS81" s="135" t="s">
        <v>2697</v>
      </c>
      <c r="DU81" s="181" t="s">
        <v>1241</v>
      </c>
      <c r="DV81" s="182" t="s">
        <v>1244</v>
      </c>
      <c r="DW81" s="135" t="s">
        <v>1631</v>
      </c>
      <c r="DX81" s="200">
        <f t="shared" si="13"/>
        <v>31.875</v>
      </c>
      <c r="DY81" s="254">
        <v>25.5</v>
      </c>
      <c r="ET81" s="135" t="s">
        <v>2906</v>
      </c>
      <c r="EU81" s="135" t="s">
        <v>2979</v>
      </c>
      <c r="EY81" s="135" t="s">
        <v>2677</v>
      </c>
      <c r="EZ81" s="135" t="s">
        <v>2992</v>
      </c>
      <c r="FA81" s="135" t="s">
        <v>47</v>
      </c>
      <c r="FB81" s="135" t="str">
        <f t="shared" si="39"/>
        <v>4zgvisVPT</v>
      </c>
      <c r="FC81" s="156">
        <f>VLOOKUP(EZ81,'Tarieven VPT'!$D$6:$I$113,6,FALSE)</f>
        <v>250.64</v>
      </c>
      <c r="FD81" s="156">
        <f t="shared" si="30"/>
        <v>1754.48</v>
      </c>
    </row>
    <row r="82" spans="2:160" ht="19.5" hidden="1" thickBot="1" x14ac:dyDescent="0.35">
      <c r="B82" s="291">
        <f t="shared" si="40"/>
        <v>8</v>
      </c>
      <c r="C82" s="291">
        <f>IF($E$26=E30,9,0)</f>
        <v>9</v>
      </c>
      <c r="D82" s="291">
        <f>IF($E$27=E31,10,0)</f>
        <v>10</v>
      </c>
      <c r="H82" s="296"/>
      <c r="AJ82" s="135" t="s">
        <v>2874</v>
      </c>
      <c r="AX82" s="165" t="s">
        <v>1673</v>
      </c>
      <c r="AY82" s="135" t="s">
        <v>413</v>
      </c>
      <c r="AZ82" s="206" t="e">
        <f>VLOOKUP(AY82,'Tarieven ZIN prestaties'!$B$1:$D$84,2,FALSE)</f>
        <v>#N/A</v>
      </c>
      <c r="BA82" s="207"/>
      <c r="BI82" s="193"/>
      <c r="BJ82" s="193"/>
      <c r="BK82" s="272"/>
      <c r="BL82" s="175"/>
      <c r="BR82" s="135">
        <v>635</v>
      </c>
      <c r="BS82" s="135" t="s">
        <v>2697</v>
      </c>
      <c r="DU82" s="181" t="s">
        <v>1242</v>
      </c>
      <c r="DV82" s="182" t="s">
        <v>1244</v>
      </c>
      <c r="DW82" s="135" t="s">
        <v>1631</v>
      </c>
      <c r="DX82" s="200">
        <f>DY82*1.25</f>
        <v>31.875</v>
      </c>
      <c r="DY82" s="254">
        <v>25.5</v>
      </c>
      <c r="ET82" s="135" t="s">
        <v>2897</v>
      </c>
      <c r="EU82" s="135" t="s">
        <v>2798</v>
      </c>
      <c r="EY82" s="135" t="s">
        <v>2678</v>
      </c>
      <c r="EZ82" s="135" t="s">
        <v>2993</v>
      </c>
      <c r="FA82" s="135" t="s">
        <v>47</v>
      </c>
      <c r="FB82" s="135" t="str">
        <f t="shared" si="39"/>
        <v>5zgvisVPT</v>
      </c>
      <c r="FC82" s="156">
        <f>VLOOKUP(EZ82,'Tarieven VPT'!$D$6:$I$113,6,FALSE)</f>
        <v>273.91000000000003</v>
      </c>
      <c r="FD82" s="156">
        <f>FC82*7</f>
        <v>1917.3700000000001</v>
      </c>
    </row>
    <row r="83" spans="2:160" ht="19.5" hidden="1" thickBot="1" x14ac:dyDescent="0.35">
      <c r="B83" s="291">
        <f t="shared" si="40"/>
        <v>8</v>
      </c>
      <c r="C83" s="291">
        <f>IF($E$26=E31,9,0)</f>
        <v>9</v>
      </c>
      <c r="H83" s="296"/>
      <c r="AJ83" s="135" t="s">
        <v>2875</v>
      </c>
      <c r="AX83" s="165" t="s">
        <v>1770</v>
      </c>
      <c r="AY83" s="135" t="s">
        <v>429</v>
      </c>
      <c r="AZ83" s="206" t="e">
        <f>VLOOKUP(AY83,'Tarieven ZIN prestaties'!$B$1:$D$84,2,FALSE)</f>
        <v>#N/A</v>
      </c>
      <c r="BA83" s="207"/>
      <c r="BI83" s="193"/>
      <c r="BJ83" s="193"/>
      <c r="BK83" s="272"/>
      <c r="BL83" s="175"/>
      <c r="BR83" s="135">
        <v>636</v>
      </c>
      <c r="BS83" s="135" t="s">
        <v>2697</v>
      </c>
      <c r="DU83" s="181" t="s">
        <v>1243</v>
      </c>
      <c r="DV83" s="182" t="s">
        <v>1244</v>
      </c>
      <c r="DW83" s="135" t="s">
        <v>1631</v>
      </c>
      <c r="DX83" s="200">
        <f>DY83*1.25</f>
        <v>34.375</v>
      </c>
      <c r="DY83" s="254">
        <v>27.5</v>
      </c>
      <c r="ET83" s="135" t="s">
        <v>2901</v>
      </c>
      <c r="EU83" s="135" t="s">
        <v>2974</v>
      </c>
    </row>
    <row r="84" spans="2:160" ht="18.75" hidden="1" x14ac:dyDescent="0.3">
      <c r="B84" s="291">
        <f t="shared" si="40"/>
        <v>8</v>
      </c>
      <c r="H84" s="296"/>
      <c r="AJ84" s="135" t="s">
        <v>2876</v>
      </c>
      <c r="AX84" s="165" t="s">
        <v>1771</v>
      </c>
      <c r="AY84" s="135" t="s">
        <v>17</v>
      </c>
      <c r="AZ84" s="206" t="e">
        <f>VLOOKUP(AY84,'Tarieven ZIN prestaties'!$B$1:$D$84,2,FALSE)</f>
        <v>#N/A</v>
      </c>
      <c r="BA84" s="207"/>
      <c r="BI84" s="193"/>
      <c r="BJ84" s="193"/>
      <c r="BR84" s="135">
        <v>637</v>
      </c>
      <c r="BS84" s="135" t="s">
        <v>2697</v>
      </c>
      <c r="ET84" s="135" t="s">
        <v>2905</v>
      </c>
      <c r="EU84" s="135" t="s">
        <v>2978</v>
      </c>
    </row>
    <row r="85" spans="2:160" ht="18.75" hidden="1" x14ac:dyDescent="0.3">
      <c r="H85" s="296"/>
      <c r="AJ85" s="135" t="s">
        <v>2877</v>
      </c>
      <c r="AX85" s="165" t="s">
        <v>1674</v>
      </c>
      <c r="AY85" s="135" t="s">
        <v>451</v>
      </c>
      <c r="AZ85" s="206" t="e">
        <f>VLOOKUP(AY85,'Tarieven ZIN prestaties'!$B$1:$D$84,2,FALSE)</f>
        <v>#N/A</v>
      </c>
      <c r="BA85" s="207"/>
      <c r="BI85" s="193"/>
      <c r="BJ85" s="193"/>
      <c r="BR85" s="135">
        <v>638</v>
      </c>
      <c r="BS85" s="135" t="s">
        <v>2697</v>
      </c>
      <c r="ET85" s="135" t="s">
        <v>2909</v>
      </c>
      <c r="EU85" s="135" t="s">
        <v>2982</v>
      </c>
    </row>
    <row r="86" spans="2:160" ht="18.75" hidden="1" x14ac:dyDescent="0.3">
      <c r="H86" s="296"/>
      <c r="AJ86" s="135" t="s">
        <v>2878</v>
      </c>
      <c r="AX86" s="165" t="s">
        <v>1675</v>
      </c>
      <c r="AY86" s="135" t="s">
        <v>449</v>
      </c>
      <c r="AZ86" s="206" t="e">
        <f>VLOOKUP(AY86,'Tarieven ZIN prestaties'!$B$1:$D$84,2,FALSE)</f>
        <v>#N/A</v>
      </c>
      <c r="BA86" s="207"/>
      <c r="BR86" s="135">
        <v>639</v>
      </c>
      <c r="BS86" s="135" t="s">
        <v>2697</v>
      </c>
      <c r="ET86" s="135" t="s">
        <v>2895</v>
      </c>
      <c r="EU86" s="135" t="s">
        <v>2796</v>
      </c>
    </row>
    <row r="87" spans="2:160" ht="18.75" hidden="1" x14ac:dyDescent="0.3">
      <c r="B87" s="291">
        <f>IF($E$29=E30,12,0)</f>
        <v>12</v>
      </c>
      <c r="C87" s="291">
        <f>IF(E30=E31,13,0)</f>
        <v>13</v>
      </c>
      <c r="H87" s="296"/>
      <c r="AJ87" s="135" t="s">
        <v>2879</v>
      </c>
      <c r="AX87" s="165" t="s">
        <v>1676</v>
      </c>
      <c r="AY87" s="135" t="s">
        <v>463</v>
      </c>
      <c r="AZ87" s="206" t="e">
        <f>VLOOKUP(AY87,'Tarieven ZIN prestaties'!$B$1:$D$84,2,FALSE)</f>
        <v>#N/A</v>
      </c>
      <c r="BA87" s="207"/>
      <c r="BR87" s="135">
        <v>500</v>
      </c>
      <c r="BS87" s="135" t="s">
        <v>2697</v>
      </c>
      <c r="ET87" s="135" t="s">
        <v>2899</v>
      </c>
      <c r="EU87" s="135" t="s">
        <v>2972</v>
      </c>
    </row>
    <row r="88" spans="2:160" ht="18.75" hidden="1" x14ac:dyDescent="0.3">
      <c r="B88" s="291">
        <f>IF($E$29=E31,12,0)</f>
        <v>12</v>
      </c>
      <c r="H88" s="296"/>
      <c r="AJ88" s="135" t="s">
        <v>2880</v>
      </c>
      <c r="AX88" s="165" t="s">
        <v>1677</v>
      </c>
      <c r="AY88" s="135" t="s">
        <v>482</v>
      </c>
      <c r="AZ88" s="206" t="e">
        <f>VLOOKUP(AY88,'Tarieven ZIN prestaties'!$B$1:$D$84,2,FALSE)</f>
        <v>#N/A</v>
      </c>
      <c r="BA88" s="207"/>
      <c r="BR88" s="135">
        <v>501</v>
      </c>
      <c r="BS88" s="135" t="s">
        <v>2698</v>
      </c>
      <c r="ET88" s="135" t="s">
        <v>2903</v>
      </c>
      <c r="EU88" s="135" t="s">
        <v>2976</v>
      </c>
    </row>
    <row r="89" spans="2:160" ht="18.75" hidden="1" x14ac:dyDescent="0.3">
      <c r="H89" s="296"/>
      <c r="AJ89" s="135" t="s">
        <v>2881</v>
      </c>
      <c r="AX89" s="165" t="s">
        <v>1678</v>
      </c>
      <c r="AY89" s="135" t="s">
        <v>474</v>
      </c>
      <c r="AZ89" s="206" t="e">
        <f>VLOOKUP(AY89,'Tarieven ZIN prestaties'!$B$1:$D$84,2,FALSE)</f>
        <v>#N/A</v>
      </c>
      <c r="BA89" s="207"/>
      <c r="BR89" s="135">
        <v>502</v>
      </c>
      <c r="BS89" s="135" t="s">
        <v>2697</v>
      </c>
      <c r="ET89" s="135" t="s">
        <v>2907</v>
      </c>
      <c r="EU89" s="135" t="s">
        <v>2980</v>
      </c>
    </row>
    <row r="90" spans="2:160" ht="18.75" hidden="1" x14ac:dyDescent="0.3">
      <c r="F90" s="291" t="s">
        <v>3340</v>
      </c>
      <c r="G90" s="291">
        <f>COUNTIF(E93:E106,"dubbel")</f>
        <v>0</v>
      </c>
      <c r="H90" s="296"/>
      <c r="AJ90" s="135" t="s">
        <v>2882</v>
      </c>
      <c r="AX90" s="165" t="s">
        <v>1679</v>
      </c>
      <c r="AY90" s="135" t="s">
        <v>455</v>
      </c>
      <c r="AZ90" s="206" t="e">
        <f>VLOOKUP(AY90,'Tarieven ZIN prestaties'!$B$1:$D$84,2,FALSE)</f>
        <v>#N/A</v>
      </c>
      <c r="BA90" s="207"/>
      <c r="BR90" s="135">
        <v>503</v>
      </c>
      <c r="BS90" s="135" t="s">
        <v>2697</v>
      </c>
      <c r="ET90" s="135" t="s">
        <v>2896</v>
      </c>
      <c r="EU90" s="135" t="s">
        <v>2797</v>
      </c>
    </row>
    <row r="91" spans="2:160" ht="18.75" hidden="1" x14ac:dyDescent="0.3">
      <c r="H91" s="296"/>
      <c r="AJ91" s="135" t="s">
        <v>2883</v>
      </c>
      <c r="AX91" s="165" t="s">
        <v>1680</v>
      </c>
      <c r="AY91" s="135" t="s">
        <v>465</v>
      </c>
      <c r="AZ91" s="206" t="e">
        <f>VLOOKUP(AY91,'Tarieven ZIN prestaties'!$B$1:$D$84,2,FALSE)</f>
        <v>#N/A</v>
      </c>
      <c r="BA91" s="207"/>
      <c r="BR91" s="135">
        <v>504</v>
      </c>
      <c r="BS91" s="135" t="s">
        <v>2697</v>
      </c>
      <c r="ET91" s="135" t="s">
        <v>2900</v>
      </c>
      <c r="EU91" s="135" t="s">
        <v>2973</v>
      </c>
    </row>
    <row r="92" spans="2:160" ht="18.75" hidden="1" x14ac:dyDescent="0.3">
      <c r="H92" s="296"/>
      <c r="AJ92" s="135" t="s">
        <v>2884</v>
      </c>
      <c r="AX92" s="165" t="s">
        <v>1681</v>
      </c>
      <c r="AY92" s="135" t="s">
        <v>488</v>
      </c>
      <c r="AZ92" s="206" t="e">
        <f>VLOOKUP(AY92,'Tarieven ZIN prestaties'!$B$1:$D$84,2,FALSE)</f>
        <v>#N/A</v>
      </c>
      <c r="BA92" s="207"/>
      <c r="BR92" s="135">
        <v>505</v>
      </c>
      <c r="BS92" s="135" t="s">
        <v>2698</v>
      </c>
      <c r="ET92" s="135" t="s">
        <v>2904</v>
      </c>
      <c r="EU92" s="135" t="s">
        <v>2977</v>
      </c>
    </row>
    <row r="93" spans="2:160" ht="18.75" hidden="1" x14ac:dyDescent="0.3">
      <c r="B93" s="291" t="str">
        <f>IF(AND(B65=0,B52=1),E18,IF(AND(B65=0,B52=0),E18,"geen AGB"))</f>
        <v>geen AGB</v>
      </c>
      <c r="C93" s="291" t="s">
        <v>3326</v>
      </c>
      <c r="D93" s="297">
        <f t="shared" ref="D93:D106" si="41">E18</f>
        <v>0</v>
      </c>
      <c r="E93" s="298">
        <v>1</v>
      </c>
      <c r="F93" s="291">
        <f t="shared" ref="F93:F106" si="42">E18</f>
        <v>0</v>
      </c>
      <c r="G93" s="291">
        <v>1</v>
      </c>
      <c r="H93" s="297"/>
      <c r="M93" s="113">
        <v>1</v>
      </c>
      <c r="AJ93" s="135" t="s">
        <v>2885</v>
      </c>
      <c r="AX93" s="165" t="s">
        <v>1682</v>
      </c>
      <c r="AY93" s="135" t="s">
        <v>508</v>
      </c>
      <c r="AZ93" s="206" t="e">
        <f>VLOOKUP(AY93,'Tarieven ZIN prestaties'!$B$1:$D$84,2,FALSE)</f>
        <v>#N/A</v>
      </c>
      <c r="BA93" s="207"/>
      <c r="BR93" s="135">
        <v>506</v>
      </c>
      <c r="BS93" s="135" t="s">
        <v>2697</v>
      </c>
      <c r="ET93" s="135" t="s">
        <v>2908</v>
      </c>
      <c r="EU93" s="135" t="s">
        <v>2981</v>
      </c>
    </row>
    <row r="94" spans="2:160" ht="18.75" hidden="1" x14ac:dyDescent="0.3">
      <c r="B94" s="291" t="str">
        <f>IF(AND(D64=1,D51=2),"",IF(AND(D51=0,D64=0),"",E19))</f>
        <v/>
      </c>
      <c r="C94" s="291" t="s">
        <v>3327</v>
      </c>
      <c r="D94" s="297">
        <f t="shared" si="41"/>
        <v>0</v>
      </c>
      <c r="E94" s="298">
        <f>IF(D94&lt;&gt;D93,E93+1,E93)</f>
        <v>1</v>
      </c>
      <c r="F94" s="291">
        <f t="shared" si="42"/>
        <v>0</v>
      </c>
      <c r="G94" s="291" t="str">
        <f>IF(E94=2,2,IF($E$95=3,3,IF($E$96=4,4,IF($E$97=5,5,IF($E$98=6,6,IF($E$99=7,7,IF($E$100=8,8,IF($E$101=9,9,IF($E$102=10,10,IF($E$103=11,11,IF($E$104=12,12,IF($E$105=13,13,IF($E$106=14,14,"onwaar")))))))))))))</f>
        <v>onwaar</v>
      </c>
      <c r="H94" s="297"/>
      <c r="M94" s="113">
        <v>2</v>
      </c>
      <c r="AJ94" s="135" t="s">
        <v>2886</v>
      </c>
      <c r="AX94" s="165" t="s">
        <v>1683</v>
      </c>
      <c r="AY94" s="135" t="s">
        <v>544</v>
      </c>
      <c r="AZ94" s="206" t="e">
        <f>VLOOKUP(AY94,'Tarieven ZIN prestaties'!$B$1:$D$84,2,FALSE)</f>
        <v>#N/A</v>
      </c>
      <c r="BA94" s="207"/>
      <c r="BR94" s="135">
        <v>507</v>
      </c>
      <c r="BS94" s="135" t="s">
        <v>2697</v>
      </c>
      <c r="ET94" s="135" t="s">
        <v>2910</v>
      </c>
      <c r="EU94" s="135" t="s">
        <v>2799</v>
      </c>
    </row>
    <row r="95" spans="2:160" ht="18.75" hidden="1" x14ac:dyDescent="0.3">
      <c r="C95" s="291" t="s">
        <v>3328</v>
      </c>
      <c r="D95" s="297">
        <f t="shared" si="41"/>
        <v>0</v>
      </c>
      <c r="E95" s="298">
        <f>IF(AND(D95&lt;&gt;D94,D95&lt;&gt;D93),E94+1,E94)</f>
        <v>1</v>
      </c>
      <c r="F95" s="291">
        <f t="shared" si="42"/>
        <v>0</v>
      </c>
      <c r="G95" s="291" t="str">
        <f>IF($E$96=4,4,IF($E$97=5,5,IF($E$98=6,6,IF($E$99=7,7,IF($E$100=8,8,IF($E$101=9,9,IF($E$102=10,10,IF($E$103=11,11,IF($E$104=12,12,IF($E$105=13,13,IF($E$106=14,14,"onwaar")))))))))))</f>
        <v>onwaar</v>
      </c>
      <c r="H95" s="297"/>
      <c r="J95" s="477"/>
      <c r="K95" s="477"/>
      <c r="M95" s="113">
        <v>3</v>
      </c>
      <c r="AJ95" s="135" t="s">
        <v>2887</v>
      </c>
      <c r="AX95" s="165" t="s">
        <v>1684</v>
      </c>
      <c r="AY95" s="135" t="s">
        <v>514</v>
      </c>
      <c r="AZ95" s="206" t="e">
        <f>VLOOKUP(AY95,'Tarieven ZIN prestaties'!$B$1:$D$84,2,FALSE)</f>
        <v>#N/A</v>
      </c>
      <c r="BA95" s="207"/>
      <c r="BR95" s="135">
        <v>508</v>
      </c>
      <c r="BS95" s="135" t="s">
        <v>2698</v>
      </c>
      <c r="ET95" s="135" t="s">
        <v>2912</v>
      </c>
      <c r="EU95" s="135" t="s">
        <v>2983</v>
      </c>
    </row>
    <row r="96" spans="2:160" ht="18.75" hidden="1" x14ac:dyDescent="0.3">
      <c r="C96" s="291" t="s">
        <v>3329</v>
      </c>
      <c r="D96" s="297">
        <f t="shared" si="41"/>
        <v>0</v>
      </c>
      <c r="E96" s="298">
        <f>IF(AND(D96&lt;&gt;D95,D96&lt;&gt;D94,D96&lt;&gt;D93),E95+1,E95)</f>
        <v>1</v>
      </c>
      <c r="F96" s="291">
        <f t="shared" si="42"/>
        <v>0</v>
      </c>
      <c r="G96" s="291" t="str">
        <f t="shared" ref="G96:G106" si="43">IF(E96=2,2,IF($E$95=3,3,IF($E$96=4,4,IF($E$97=5,5,IF($E$98=6,6,IF($E$99=7,7,IF($E$100=8,8,IF($E$101=9,9,IF($E$102=10,10,IF($E$103=11,11,IF($E$104=12,12,IF($E$105=13,13,IF($E$106=14,14,"onwaar")))))))))))))</f>
        <v>onwaar</v>
      </c>
      <c r="H96" s="297"/>
      <c r="J96" s="477"/>
      <c r="K96" s="477"/>
      <c r="M96" s="113">
        <v>4</v>
      </c>
      <c r="AJ96" s="135" t="s">
        <v>2888</v>
      </c>
      <c r="AX96" s="165" t="s">
        <v>1685</v>
      </c>
      <c r="AY96" s="135" t="s">
        <v>552</v>
      </c>
      <c r="AZ96" s="206" t="e">
        <f>VLOOKUP(AY96,'Tarieven ZIN prestaties'!$B$1:$D$84,2,FALSE)</f>
        <v>#N/A</v>
      </c>
      <c r="BA96" s="207"/>
      <c r="BR96" s="135">
        <v>509</v>
      </c>
      <c r="BS96" s="135" t="s">
        <v>2697</v>
      </c>
      <c r="ET96" s="135" t="s">
        <v>2911</v>
      </c>
      <c r="EU96" s="135" t="s">
        <v>2800</v>
      </c>
    </row>
    <row r="97" spans="2:151" ht="18.75" hidden="1" x14ac:dyDescent="0.3">
      <c r="C97" s="291" t="s">
        <v>3330</v>
      </c>
      <c r="D97" s="297">
        <f t="shared" si="41"/>
        <v>0</v>
      </c>
      <c r="E97" s="298" t="str">
        <f>IF(AND(D97&lt;&gt;D96,D97&lt;&gt;D95,D97&lt;&gt;D94,D97&lt;&gt;D93),E96+1," ")</f>
        <v xml:space="preserve"> </v>
      </c>
      <c r="F97" s="291">
        <f t="shared" si="42"/>
        <v>0</v>
      </c>
      <c r="G97" s="291" t="str">
        <f t="shared" si="43"/>
        <v>onwaar</v>
      </c>
      <c r="H97" s="297"/>
      <c r="J97" s="477"/>
      <c r="K97" s="477"/>
      <c r="M97" s="113">
        <v>5</v>
      </c>
      <c r="AJ97" s="135" t="s">
        <v>2889</v>
      </c>
      <c r="AX97" s="165" t="s">
        <v>1686</v>
      </c>
      <c r="AY97" s="135" t="s">
        <v>558</v>
      </c>
      <c r="AZ97" s="206" t="e">
        <f>VLOOKUP(AY97,'Tarieven ZIN prestaties'!$B$1:$D$84,2,FALSE)</f>
        <v>#N/A</v>
      </c>
      <c r="BA97" s="207"/>
      <c r="BR97" s="135">
        <v>510</v>
      </c>
      <c r="BS97" s="135" t="s">
        <v>2697</v>
      </c>
      <c r="ET97" s="135" t="s">
        <v>2913</v>
      </c>
      <c r="EU97" s="135" t="s">
        <v>2984</v>
      </c>
    </row>
    <row r="98" spans="2:151" ht="18.75" hidden="1" x14ac:dyDescent="0.3">
      <c r="C98" s="291" t="s">
        <v>3331</v>
      </c>
      <c r="D98" s="297">
        <f t="shared" si="41"/>
        <v>0</v>
      </c>
      <c r="E98" s="298" t="str">
        <f>IF(AND(D98&lt;&gt;D97,D98&lt;&gt;D96,D98&lt;&gt;D95,D96&lt;&gt;D94,D96&lt;&gt;D93),E97+1,E97)</f>
        <v xml:space="preserve"> </v>
      </c>
      <c r="F98" s="291">
        <f t="shared" si="42"/>
        <v>0</v>
      </c>
      <c r="G98" s="291" t="str">
        <f t="shared" si="43"/>
        <v>onwaar</v>
      </c>
      <c r="H98" s="297"/>
      <c r="J98" s="477"/>
      <c r="K98" s="477"/>
      <c r="M98" s="113">
        <v>6</v>
      </c>
      <c r="AJ98" s="135" t="s">
        <v>2890</v>
      </c>
      <c r="AX98" s="165" t="s">
        <v>1687</v>
      </c>
      <c r="AY98" s="135" t="s">
        <v>446</v>
      </c>
      <c r="AZ98" s="206" t="e">
        <f>VLOOKUP(AY98,'Tarieven ZIN prestaties'!$B$1:$D$84,2,FALSE)</f>
        <v>#N/A</v>
      </c>
      <c r="BA98" s="207"/>
      <c r="BR98" s="135">
        <v>511</v>
      </c>
      <c r="BS98" s="135" t="s">
        <v>2697</v>
      </c>
      <c r="ET98" s="135" t="s">
        <v>2914</v>
      </c>
      <c r="EU98" s="135" t="s">
        <v>2801</v>
      </c>
    </row>
    <row r="99" spans="2:151" ht="18.75" hidden="1" x14ac:dyDescent="0.3">
      <c r="C99" s="291" t="s">
        <v>3332</v>
      </c>
      <c r="D99" s="297">
        <f t="shared" si="41"/>
        <v>0</v>
      </c>
      <c r="E99" s="298" t="str">
        <f>IF(AND(D99&lt;&gt;D98,D99&lt;&gt;D97,D99&lt;&gt;D96,D99&lt;&gt;D95,D99&lt;&gt;D94,D99&lt;&gt;D93),E98+1,E98)</f>
        <v xml:space="preserve"> </v>
      </c>
      <c r="F99" s="291">
        <f t="shared" si="42"/>
        <v>0</v>
      </c>
      <c r="G99" s="291" t="str">
        <f t="shared" si="43"/>
        <v>onwaar</v>
      </c>
      <c r="H99" s="297"/>
      <c r="J99" s="477"/>
      <c r="K99" s="477"/>
      <c r="M99" s="113">
        <v>7</v>
      </c>
      <c r="AJ99" s="135" t="s">
        <v>2891</v>
      </c>
      <c r="AX99" s="165" t="s">
        <v>1772</v>
      </c>
      <c r="AY99" s="135" t="s">
        <v>453</v>
      </c>
      <c r="AZ99" s="206" t="e">
        <f>VLOOKUP(AY99,'Tarieven ZIN prestaties'!$B$1:$D$84,2,FALSE)</f>
        <v>#N/A</v>
      </c>
      <c r="BA99" s="207"/>
      <c r="BR99" s="135">
        <v>512</v>
      </c>
      <c r="BS99" s="135" t="s">
        <v>2697</v>
      </c>
      <c r="ET99" s="135" t="s">
        <v>2920</v>
      </c>
      <c r="EU99" s="135" t="s">
        <v>2988</v>
      </c>
    </row>
    <row r="100" spans="2:151" ht="18.75" hidden="1" x14ac:dyDescent="0.3">
      <c r="C100" s="291" t="s">
        <v>3333</v>
      </c>
      <c r="D100" s="297">
        <f t="shared" si="41"/>
        <v>0</v>
      </c>
      <c r="E100" s="298" t="str">
        <f>IF(AND(D100&lt;&gt;D99,D100&lt;&gt;D98,D100&lt;&gt;D97,D100&lt;&gt;D96,D100&lt;&gt;D95,D100&lt;&gt;D94,D100&lt;&gt;D93),E99+1,E99)</f>
        <v xml:space="preserve"> </v>
      </c>
      <c r="F100" s="291">
        <f t="shared" si="42"/>
        <v>0</v>
      </c>
      <c r="G100" s="291" t="str">
        <f t="shared" si="43"/>
        <v>onwaar</v>
      </c>
      <c r="H100" s="297"/>
      <c r="J100" s="477"/>
      <c r="K100" s="477"/>
      <c r="M100" s="113">
        <v>8</v>
      </c>
      <c r="AJ100" s="135" t="s">
        <v>2892</v>
      </c>
      <c r="AX100" s="165" t="s">
        <v>1688</v>
      </c>
      <c r="AY100" s="135" t="s">
        <v>443</v>
      </c>
      <c r="AZ100" s="206" t="e">
        <f>VLOOKUP(AY100,'Tarieven ZIN prestaties'!$B$1:$D$84,2,FALSE)</f>
        <v>#N/A</v>
      </c>
      <c r="BA100" s="207"/>
      <c r="BR100" s="135">
        <v>513</v>
      </c>
      <c r="BS100" s="135" t="s">
        <v>2697</v>
      </c>
      <c r="ET100" s="135" t="s">
        <v>2917</v>
      </c>
      <c r="EU100" s="135" t="s">
        <v>2985</v>
      </c>
    </row>
    <row r="101" spans="2:151" ht="18.75" hidden="1" x14ac:dyDescent="0.3">
      <c r="C101" s="291" t="s">
        <v>3334</v>
      </c>
      <c r="D101" s="297">
        <f t="shared" si="41"/>
        <v>0</v>
      </c>
      <c r="E101" s="298" t="str">
        <f>IF(AND(D101&lt;&gt;D100,D101&lt;&gt;D99,D101&lt;&gt;D98,D101&lt;&gt;D97,D101&lt;&gt;D96,D101&lt;&gt;D95,D101&lt;&gt;D94,D101&lt;&gt;D93),E100+1,E100)</f>
        <v xml:space="preserve"> </v>
      </c>
      <c r="F101" s="291">
        <f t="shared" si="42"/>
        <v>0</v>
      </c>
      <c r="G101" s="291" t="str">
        <f t="shared" si="43"/>
        <v>onwaar</v>
      </c>
      <c r="H101" s="297"/>
      <c r="M101" s="113">
        <v>9</v>
      </c>
      <c r="AJ101" s="135" t="s">
        <v>2893</v>
      </c>
      <c r="AX101" s="376" t="s">
        <v>1800</v>
      </c>
      <c r="AY101" s="377" t="s">
        <v>2553</v>
      </c>
      <c r="AZ101" s="378">
        <f>VLOOKUP(AY101,'Tarieven ZIN prestaties'!$B$1:$D$84,2,FALSE)</f>
        <v>272.67</v>
      </c>
      <c r="BA101" s="207"/>
      <c r="BR101" s="135">
        <v>514</v>
      </c>
      <c r="BS101" s="135" t="s">
        <v>2697</v>
      </c>
      <c r="ET101" s="135" t="s">
        <v>2923</v>
      </c>
      <c r="EU101" s="135" t="s">
        <v>2991</v>
      </c>
    </row>
    <row r="102" spans="2:151" ht="18.75" hidden="1" x14ac:dyDescent="0.3">
      <c r="C102" s="291" t="s">
        <v>3335</v>
      </c>
      <c r="D102" s="297">
        <f t="shared" si="41"/>
        <v>0</v>
      </c>
      <c r="E102" s="298" t="str">
        <f>IF(AND(D102&lt;&gt;D101,D102&lt;&gt;D100,D102&lt;&gt;D99,D102&lt;&gt;D98,D102&lt;&gt;D97,D102&lt;&gt;D96,D102&lt;&gt;D95,D102&lt;&gt;D94,D102&lt;&gt;D93),E101+1,E101)</f>
        <v xml:space="preserve"> </v>
      </c>
      <c r="F102" s="291">
        <f t="shared" si="42"/>
        <v>0</v>
      </c>
      <c r="G102" s="291" t="str">
        <f t="shared" si="43"/>
        <v>onwaar</v>
      </c>
      <c r="H102" s="297"/>
      <c r="M102" s="113">
        <v>10</v>
      </c>
      <c r="AJ102" s="135" t="s">
        <v>2894</v>
      </c>
      <c r="AX102" s="376" t="s">
        <v>1801</v>
      </c>
      <c r="AY102" s="377" t="s">
        <v>2557</v>
      </c>
      <c r="AZ102" s="378">
        <f>VLOOKUP(AY102,'Tarieven ZIN prestaties'!$B$1:$D$84,2,FALSE)</f>
        <v>264.11</v>
      </c>
      <c r="BA102" s="207"/>
      <c r="BR102" s="135">
        <v>515</v>
      </c>
      <c r="BS102" s="135" t="s">
        <v>2697</v>
      </c>
      <c r="ET102" s="135" t="s">
        <v>2915</v>
      </c>
      <c r="EU102" s="135" t="s">
        <v>2802</v>
      </c>
    </row>
    <row r="103" spans="2:151" ht="18.75" hidden="1" x14ac:dyDescent="0.3">
      <c r="C103" s="291" t="s">
        <v>3336</v>
      </c>
      <c r="D103" s="297">
        <f t="shared" si="41"/>
        <v>0</v>
      </c>
      <c r="E103" s="298"/>
      <c r="F103" s="291">
        <f t="shared" si="42"/>
        <v>0</v>
      </c>
      <c r="G103" s="291" t="str">
        <f t="shared" si="43"/>
        <v>onwaar</v>
      </c>
      <c r="H103" s="297"/>
      <c r="M103" s="113">
        <v>11</v>
      </c>
      <c r="AJ103" s="135" t="s">
        <v>2895</v>
      </c>
      <c r="AX103" s="376" t="s">
        <v>1802</v>
      </c>
      <c r="AY103" s="377" t="s">
        <v>2561</v>
      </c>
      <c r="AZ103" s="378">
        <f>VLOOKUP(AY103,'Tarieven ZIN prestaties'!$B$1:$D$84,2,FALSE)</f>
        <v>384.05</v>
      </c>
      <c r="BA103" s="207"/>
      <c r="BR103" s="135">
        <v>516</v>
      </c>
      <c r="BS103" s="135" t="s">
        <v>2697</v>
      </c>
      <c r="ET103" s="135" t="s">
        <v>2918</v>
      </c>
      <c r="EU103" s="135" t="s">
        <v>2986</v>
      </c>
    </row>
    <row r="104" spans="2:151" ht="18.75" hidden="1" x14ac:dyDescent="0.3">
      <c r="C104" s="291" t="s">
        <v>3337</v>
      </c>
      <c r="D104" s="297">
        <f t="shared" si="41"/>
        <v>0</v>
      </c>
      <c r="E104" s="298"/>
      <c r="F104" s="291">
        <f t="shared" si="42"/>
        <v>0</v>
      </c>
      <c r="G104" s="291" t="str">
        <f t="shared" si="43"/>
        <v>onwaar</v>
      </c>
      <c r="H104" s="297"/>
      <c r="M104" s="113">
        <v>12</v>
      </c>
      <c r="AJ104" s="135" t="s">
        <v>2896</v>
      </c>
      <c r="AX104" s="376" t="s">
        <v>1803</v>
      </c>
      <c r="AY104" s="377" t="s">
        <v>2565</v>
      </c>
      <c r="AZ104" s="378">
        <f>VLOOKUP(AY104,'Tarieven ZIN prestaties'!$B$1:$D$84,2,FALSE)</f>
        <v>215.37</v>
      </c>
      <c r="BA104" s="207"/>
      <c r="BR104" s="135">
        <v>580</v>
      </c>
      <c r="BS104" s="135" t="s">
        <v>2697</v>
      </c>
      <c r="ET104" s="135" t="s">
        <v>2921</v>
      </c>
      <c r="EU104" s="135" t="s">
        <v>2989</v>
      </c>
    </row>
    <row r="105" spans="2:151" ht="18.75" hidden="1" x14ac:dyDescent="0.3">
      <c r="C105" s="291" t="s">
        <v>3338</v>
      </c>
      <c r="D105" s="297">
        <f t="shared" si="41"/>
        <v>0</v>
      </c>
      <c r="E105" s="298"/>
      <c r="F105" s="291">
        <f t="shared" si="42"/>
        <v>0</v>
      </c>
      <c r="G105" s="291" t="str">
        <f t="shared" si="43"/>
        <v>onwaar</v>
      </c>
      <c r="H105" s="297"/>
      <c r="M105" s="113">
        <v>13</v>
      </c>
      <c r="AJ105" s="135" t="s">
        <v>2897</v>
      </c>
      <c r="AX105" s="376" t="s">
        <v>1799</v>
      </c>
      <c r="AY105" s="377" t="s">
        <v>2549</v>
      </c>
      <c r="AZ105" s="378">
        <f>VLOOKUP(AY105,'Tarieven ZIN prestaties'!$B$1:$D$84,2,FALSE)</f>
        <v>238.28</v>
      </c>
      <c r="BA105" s="207"/>
      <c r="BR105" s="135">
        <v>584</v>
      </c>
      <c r="BS105" s="135" t="s">
        <v>2697</v>
      </c>
      <c r="ET105" s="135" t="s">
        <v>2924</v>
      </c>
      <c r="EU105" s="135" t="s">
        <v>2992</v>
      </c>
    </row>
    <row r="106" spans="2:151" ht="18.75" hidden="1" x14ac:dyDescent="0.3">
      <c r="C106" s="291" t="s">
        <v>3339</v>
      </c>
      <c r="D106" s="297">
        <f t="shared" si="41"/>
        <v>0</v>
      </c>
      <c r="E106" s="298"/>
      <c r="F106" s="291">
        <f t="shared" si="42"/>
        <v>0</v>
      </c>
      <c r="G106" s="291" t="str">
        <f t="shared" si="43"/>
        <v>onwaar</v>
      </c>
      <c r="H106" s="297"/>
      <c r="M106" s="113">
        <v>14</v>
      </c>
      <c r="AJ106" s="135" t="s">
        <v>2898</v>
      </c>
      <c r="AX106" s="240" t="s">
        <v>2764</v>
      </c>
      <c r="AY106" s="212" t="s">
        <v>245</v>
      </c>
      <c r="AZ106" s="277">
        <f>VLOOKUP(AY106,'Tarieven VPT'!$B$6:I178,8,FALSE)</f>
        <v>70.866497876749449</v>
      </c>
      <c r="BA106" s="207"/>
      <c r="BR106" s="135">
        <v>585</v>
      </c>
      <c r="BS106" s="135" t="s">
        <v>2697</v>
      </c>
      <c r="ET106" s="135" t="s">
        <v>2916</v>
      </c>
      <c r="EU106" s="135" t="s">
        <v>2803</v>
      </c>
    </row>
    <row r="107" spans="2:151" ht="18.75" hidden="1" x14ac:dyDescent="0.3">
      <c r="D107" s="297"/>
      <c r="E107" s="298"/>
      <c r="H107" s="296"/>
      <c r="AJ107" s="135" t="s">
        <v>2899</v>
      </c>
      <c r="AX107" s="240" t="s">
        <v>2765</v>
      </c>
      <c r="AY107" s="212" t="s">
        <v>136</v>
      </c>
      <c r="AZ107" s="277">
        <f>VLOOKUP(AY107,'Tarieven VPT'!$B$6:I179,8,FALSE)</f>
        <v>93.847296149839138</v>
      </c>
      <c r="BA107" s="207"/>
      <c r="BQ107" s="135">
        <v>1</v>
      </c>
      <c r="BR107" s="135">
        <f>BQ107+1000</f>
        <v>1001</v>
      </c>
      <c r="BS107" s="135" t="s">
        <v>1813</v>
      </c>
      <c r="ET107" s="135" t="s">
        <v>2919</v>
      </c>
      <c r="EU107" s="135" t="s">
        <v>2987</v>
      </c>
    </row>
    <row r="108" spans="2:151" ht="18.75" hidden="1" x14ac:dyDescent="0.3">
      <c r="D108" s="297"/>
      <c r="E108" s="298"/>
      <c r="H108" s="296"/>
      <c r="AJ108" s="135" t="s">
        <v>2900</v>
      </c>
      <c r="AX108" s="240" t="s">
        <v>2766</v>
      </c>
      <c r="AY108" s="212" t="s">
        <v>210</v>
      </c>
      <c r="AZ108" s="277">
        <f>VLOOKUP(AY108,'Tarieven VPT'!$B$6:I180,8,FALSE)</f>
        <v>124.28669379408338</v>
      </c>
      <c r="BA108" s="207"/>
      <c r="BQ108" s="135">
        <v>2</v>
      </c>
      <c r="BR108" s="135">
        <f t="shared" ref="BR108:BR171" si="44">BQ108+1000</f>
        <v>1002</v>
      </c>
      <c r="BS108" s="135" t="s">
        <v>1814</v>
      </c>
      <c r="ET108" s="135" t="s">
        <v>2922</v>
      </c>
      <c r="EU108" s="135" t="s">
        <v>2990</v>
      </c>
    </row>
    <row r="109" spans="2:151" ht="18.75" hidden="1" x14ac:dyDescent="0.3">
      <c r="D109" s="297">
        <f ca="1">IF(M15&gt;I33,I33-M15,0)</f>
        <v>0</v>
      </c>
      <c r="H109" s="296"/>
      <c r="AJ109" s="135" t="s">
        <v>2901</v>
      </c>
      <c r="AX109" s="240" t="s">
        <v>2767</v>
      </c>
      <c r="AY109" s="212" t="s">
        <v>54</v>
      </c>
      <c r="AZ109" s="277">
        <f>VLOOKUP(AY109,'Tarieven VPT'!$B$6:I181,8,FALSE)</f>
        <v>133.83000000000001</v>
      </c>
      <c r="BA109" s="207"/>
      <c r="BQ109" s="135">
        <v>3</v>
      </c>
      <c r="BR109" s="135">
        <f t="shared" si="44"/>
        <v>1003</v>
      </c>
      <c r="BS109" s="135" t="s">
        <v>1814</v>
      </c>
      <c r="ET109" s="135" t="s">
        <v>2925</v>
      </c>
      <c r="EU109" s="135" t="s">
        <v>2993</v>
      </c>
    </row>
    <row r="110" spans="2:151" ht="18.75" hidden="1" x14ac:dyDescent="0.3">
      <c r="D110" s="297">
        <f ca="1">IF(AND(M15&gt;0,Q24="extra budget voor behandeling"),1,0)</f>
        <v>0</v>
      </c>
      <c r="H110" s="296"/>
      <c r="AJ110" s="135" t="s">
        <v>2902</v>
      </c>
      <c r="AX110" s="240" t="s">
        <v>2768</v>
      </c>
      <c r="AY110" s="212" t="s">
        <v>107</v>
      </c>
      <c r="AZ110" s="277">
        <f>VLOOKUP(AY110,'Tarieven VPT'!$B$6:I182,8,FALSE)</f>
        <v>184.07999999999998</v>
      </c>
      <c r="BA110" s="207"/>
      <c r="BQ110" s="135">
        <v>4</v>
      </c>
      <c r="BR110" s="135">
        <f t="shared" si="44"/>
        <v>1004</v>
      </c>
      <c r="BS110" s="135" t="s">
        <v>1814</v>
      </c>
      <c r="EQ110" s="212"/>
      <c r="ET110" s="135" t="s">
        <v>2995</v>
      </c>
    </row>
    <row r="111" spans="2:151" ht="18.75" hidden="1" x14ac:dyDescent="0.3">
      <c r="B111" s="291" t="s">
        <v>3358</v>
      </c>
      <c r="D111" s="292">
        <f ca="1">SUM(I32:I34)-I33</f>
        <v>0</v>
      </c>
      <c r="G111" s="291" t="s">
        <v>3619</v>
      </c>
      <c r="H111" s="296"/>
      <c r="AJ111" s="135" t="s">
        <v>2903</v>
      </c>
      <c r="AX111" s="240" t="s">
        <v>2769</v>
      </c>
      <c r="AY111" s="212" t="s">
        <v>263</v>
      </c>
      <c r="AZ111" s="277">
        <f>VLOOKUP(AY111,'Tarieven VPT'!$B$6:I183,8,FALSE)</f>
        <v>184.44</v>
      </c>
      <c r="BA111" s="207"/>
      <c r="BQ111" s="135">
        <v>5</v>
      </c>
      <c r="BR111" s="135">
        <f t="shared" si="44"/>
        <v>1005</v>
      </c>
      <c r="BS111" s="135" t="s">
        <v>1813</v>
      </c>
      <c r="EQ111" s="212"/>
      <c r="ET111" s="135" t="s">
        <v>2996</v>
      </c>
    </row>
    <row r="112" spans="2:151" ht="18.75" hidden="1" x14ac:dyDescent="0.3">
      <c r="B112" s="291" t="s">
        <v>1607</v>
      </c>
      <c r="D112" s="292">
        <f ca="1">IF(I33&lt;M15,M10+T25-I33+I42+I39,M10+T25+M12+I42+I39)</f>
        <v>0</v>
      </c>
      <c r="E112" s="292">
        <f ca="1">D112</f>
        <v>0</v>
      </c>
      <c r="G112" s="291" t="s">
        <v>3620</v>
      </c>
      <c r="H112" s="296"/>
      <c r="AJ112" s="135" t="s">
        <v>2904</v>
      </c>
      <c r="AX112" s="240" t="s">
        <v>2770</v>
      </c>
      <c r="AY112" s="212" t="s">
        <v>386</v>
      </c>
      <c r="AZ112" s="277">
        <f>VLOOKUP(AY112,'Tarieven VPT'!$B$6:I184,8,FALSE)</f>
        <v>215.67</v>
      </c>
      <c r="BA112" s="207"/>
      <c r="BQ112" s="135">
        <v>6</v>
      </c>
      <c r="BR112" s="135">
        <f t="shared" si="44"/>
        <v>1006</v>
      </c>
      <c r="BS112" s="135" t="s">
        <v>1814</v>
      </c>
      <c r="EQ112" s="212"/>
      <c r="ET112" s="135" t="s">
        <v>2997</v>
      </c>
    </row>
    <row r="113" spans="4:150" ht="18.75" hidden="1" x14ac:dyDescent="0.3">
      <c r="D113" s="292">
        <f ca="1">IF(AND(M12&gt;0,D122=0),0,D118)</f>
        <v>0</v>
      </c>
      <c r="E113" s="291" t="str">
        <f ca="1">IF(D113&gt;0,"Restant","Overschrijding")</f>
        <v>Overschrijding</v>
      </c>
      <c r="H113" s="296"/>
      <c r="AJ113" s="135" t="s">
        <v>2905</v>
      </c>
      <c r="AX113" s="240" t="s">
        <v>2771</v>
      </c>
      <c r="AY113" s="212" t="s">
        <v>306</v>
      </c>
      <c r="AZ113" s="277">
        <f>VLOOKUP(AY113,'Tarieven VPT'!$B$6:I185,8,FALSE)</f>
        <v>249.59</v>
      </c>
      <c r="BA113" s="207"/>
      <c r="BQ113" s="135">
        <v>7</v>
      </c>
      <c r="BR113" s="135">
        <f t="shared" si="44"/>
        <v>1007</v>
      </c>
      <c r="BS113" s="135" t="s">
        <v>1814</v>
      </c>
      <c r="EQ113" s="212"/>
      <c r="ET113" s="135" t="s">
        <v>3621</v>
      </c>
    </row>
    <row r="114" spans="4:150" ht="18.75" hidden="1" x14ac:dyDescent="0.3">
      <c r="E114" s="292">
        <f ca="1">IF(AND(D113=0,M12&gt;0),0,IF(E113="overschrijding",D111-E112,D113))</f>
        <v>0</v>
      </c>
      <c r="H114" s="296"/>
      <c r="AJ114" s="135" t="s">
        <v>2906</v>
      </c>
      <c r="AX114" s="240" t="s">
        <v>2772</v>
      </c>
      <c r="AY114" s="212" t="s">
        <v>574</v>
      </c>
      <c r="AZ114" s="277">
        <f>VLOOKUP(AY114,'Tarieven VPT'!$B$6:I186,8,FALSE)</f>
        <v>178.74999999999997</v>
      </c>
      <c r="BA114" s="207"/>
      <c r="BQ114" s="135">
        <v>8</v>
      </c>
      <c r="BR114" s="135">
        <f t="shared" si="44"/>
        <v>1008</v>
      </c>
      <c r="BS114" s="135" t="s">
        <v>1813</v>
      </c>
      <c r="EQ114" s="212"/>
      <c r="ET114" s="135" t="s">
        <v>2999</v>
      </c>
    </row>
    <row r="115" spans="4:150" ht="18.75" hidden="1" x14ac:dyDescent="0.3">
      <c r="H115" s="296"/>
      <c r="AJ115" s="135" t="s">
        <v>2907</v>
      </c>
      <c r="AX115" s="240" t="s">
        <v>2773</v>
      </c>
      <c r="AY115" s="212" t="s">
        <v>93</v>
      </c>
      <c r="AZ115" s="277">
        <f>VLOOKUP(AY115,'Tarieven VPT'!$B$6:I187,8,FALSE)</f>
        <v>272.34999999999997</v>
      </c>
      <c r="BA115" s="207"/>
      <c r="BQ115" s="135">
        <v>0</v>
      </c>
      <c r="BR115" s="135">
        <f t="shared" si="44"/>
        <v>1000</v>
      </c>
      <c r="BS115" s="135" t="s">
        <v>1814</v>
      </c>
      <c r="EQ115" s="212"/>
      <c r="ET115" s="135" t="s">
        <v>3000</v>
      </c>
    </row>
    <row r="116" spans="4:150" ht="18.75" hidden="1" x14ac:dyDescent="0.3">
      <c r="H116" s="296"/>
      <c r="AJ116" s="135" t="s">
        <v>2908</v>
      </c>
      <c r="AX116" s="240" t="s">
        <v>2926</v>
      </c>
      <c r="AY116" s="212" t="s">
        <v>291</v>
      </c>
      <c r="AZ116" s="277">
        <f>VLOOKUP(AY116,'Tarieven VPT'!$B$6:I188,8,FALSE)</f>
        <v>146.31395433561758</v>
      </c>
      <c r="BA116" s="207"/>
      <c r="BQ116" s="135">
        <v>13</v>
      </c>
      <c r="BR116" s="135">
        <f t="shared" si="44"/>
        <v>1013</v>
      </c>
      <c r="BS116" s="135" t="s">
        <v>1164</v>
      </c>
      <c r="EQ116" s="212"/>
      <c r="ET116" s="135" t="s">
        <v>3001</v>
      </c>
    </row>
    <row r="117" spans="4:150" ht="18.75" hidden="1" x14ac:dyDescent="0.3">
      <c r="H117" s="296"/>
      <c r="AJ117" s="135" t="s">
        <v>2909</v>
      </c>
      <c r="AX117" s="240" t="s">
        <v>2927</v>
      </c>
      <c r="AY117" s="212" t="s">
        <v>167</v>
      </c>
      <c r="AZ117" s="277">
        <f>VLOOKUP(AY117,'Tarieven VPT'!$B$6:I189,8,FALSE)</f>
        <v>156.45000000000002</v>
      </c>
      <c r="BA117" s="207">
        <v>31.96</v>
      </c>
      <c r="BQ117" s="135">
        <v>85</v>
      </c>
      <c r="BR117" s="135">
        <f t="shared" si="44"/>
        <v>1085</v>
      </c>
      <c r="BS117" s="135" t="s">
        <v>1814</v>
      </c>
      <c r="EQ117" s="212"/>
      <c r="ET117" s="135" t="s">
        <v>3002</v>
      </c>
    </row>
    <row r="118" spans="4:150" ht="18.75" hidden="1" x14ac:dyDescent="0.3">
      <c r="D118" s="292">
        <f ca="1">$E$112-$D$111</f>
        <v>0</v>
      </c>
      <c r="H118" s="296"/>
      <c r="AJ118" s="135" t="s">
        <v>2910</v>
      </c>
      <c r="AX118" s="240" t="s">
        <v>2928</v>
      </c>
      <c r="AY118" s="212" t="s">
        <v>378</v>
      </c>
      <c r="AZ118" s="277">
        <f>VLOOKUP(AY118,'Tarieven VPT'!$B$6:I190,8,FALSE)</f>
        <v>208.48</v>
      </c>
      <c r="BA118" s="276">
        <v>34.369999999999997</v>
      </c>
      <c r="BQ118" s="135">
        <v>84</v>
      </c>
      <c r="BR118" s="135">
        <f t="shared" si="44"/>
        <v>1084</v>
      </c>
      <c r="BS118" s="135" t="s">
        <v>1814</v>
      </c>
      <c r="EQ118" s="212"/>
      <c r="ET118" s="135" t="s">
        <v>3003</v>
      </c>
    </row>
    <row r="119" spans="4:150" ht="18.75" hidden="1" x14ac:dyDescent="0.3">
      <c r="H119" s="296"/>
      <c r="AJ119" s="135" t="s">
        <v>2911</v>
      </c>
      <c r="AX119" s="240" t="s">
        <v>2929</v>
      </c>
      <c r="AY119" s="212" t="s">
        <v>340</v>
      </c>
      <c r="AZ119" s="277">
        <f>VLOOKUP(AY119,'Tarieven VPT'!$B$6:I191,8,FALSE)</f>
        <v>208.83</v>
      </c>
      <c r="BA119" s="276">
        <v>28.7</v>
      </c>
      <c r="BQ119" s="135">
        <v>83</v>
      </c>
      <c r="BR119" s="135">
        <f t="shared" si="44"/>
        <v>1083</v>
      </c>
      <c r="BS119" s="135" t="s">
        <v>1814</v>
      </c>
      <c r="EQ119" s="212"/>
      <c r="ET119" s="135" t="s">
        <v>3004</v>
      </c>
    </row>
    <row r="120" spans="4:150" ht="18.75" hidden="1" x14ac:dyDescent="0.3">
      <c r="H120" s="296"/>
      <c r="AJ120" s="135" t="s">
        <v>2912</v>
      </c>
      <c r="AX120" s="240" t="s">
        <v>2930</v>
      </c>
      <c r="AY120" s="212" t="s">
        <v>268</v>
      </c>
      <c r="AZ120" s="277">
        <f>VLOOKUP(AY120,'Tarieven VPT'!$B$6:I192,8,FALSE)</f>
        <v>248.6</v>
      </c>
      <c r="BA120" s="276"/>
      <c r="BQ120" s="135">
        <v>80</v>
      </c>
      <c r="BR120" s="135">
        <f t="shared" si="44"/>
        <v>1080</v>
      </c>
      <c r="BS120" s="135" t="s">
        <v>1814</v>
      </c>
      <c r="EQ120" s="212"/>
      <c r="ET120" s="135" t="s">
        <v>3005</v>
      </c>
    </row>
    <row r="121" spans="4:150" ht="18.75" hidden="1" x14ac:dyDescent="0.3">
      <c r="D121" s="292">
        <f ca="1">D118-M12</f>
        <v>0</v>
      </c>
      <c r="H121" s="296"/>
      <c r="AJ121" s="135" t="s">
        <v>2913</v>
      </c>
      <c r="AX121" s="240" t="s">
        <v>2931</v>
      </c>
      <c r="AY121" s="212" t="s">
        <v>197</v>
      </c>
      <c r="AZ121" s="277">
        <f>VLOOKUP(AY121,'Tarieven VPT'!$B$6:I193,8,FALSE)</f>
        <v>282.45</v>
      </c>
      <c r="BA121" s="276">
        <v>222.74</v>
      </c>
      <c r="BQ121" s="135">
        <v>88</v>
      </c>
      <c r="BR121" s="135">
        <f t="shared" si="44"/>
        <v>1088</v>
      </c>
      <c r="BS121" s="135" t="s">
        <v>1813</v>
      </c>
      <c r="EQ121" s="212"/>
      <c r="ET121" s="135" t="s">
        <v>3006</v>
      </c>
    </row>
    <row r="122" spans="4:150" ht="18.75" hidden="1" x14ac:dyDescent="0.3">
      <c r="D122" s="291">
        <f ca="1">IF(OR(D121&gt;2,D121&lt;2),1,0)</f>
        <v>1</v>
      </c>
      <c r="H122" s="296"/>
      <c r="AJ122" s="135" t="s">
        <v>2914</v>
      </c>
      <c r="AX122" s="240" t="s">
        <v>2932</v>
      </c>
      <c r="AY122" s="212" t="s">
        <v>576</v>
      </c>
      <c r="AZ122" s="277">
        <f>VLOOKUP(AY122,'Tarieven VPT'!$B$6:I194,8,FALSE)</f>
        <v>245.85</v>
      </c>
      <c r="BA122" s="276">
        <v>254.89</v>
      </c>
      <c r="BQ122" s="135">
        <v>101</v>
      </c>
      <c r="BR122" s="135">
        <f t="shared" si="44"/>
        <v>1101</v>
      </c>
      <c r="BS122" s="135" t="s">
        <v>1819</v>
      </c>
      <c r="EQ122" s="212"/>
      <c r="ET122" s="135" t="s">
        <v>3007</v>
      </c>
    </row>
    <row r="123" spans="4:150" ht="18.75" hidden="1" x14ac:dyDescent="0.3">
      <c r="H123" s="296"/>
      <c r="AJ123" s="135" t="s">
        <v>2915</v>
      </c>
      <c r="AX123" s="240" t="s">
        <v>2933</v>
      </c>
      <c r="AY123" s="212" t="s">
        <v>188</v>
      </c>
      <c r="AZ123" s="277">
        <f>VLOOKUP(AY123,'Tarieven VPT'!$B$6:I195,8,FALSE)</f>
        <v>305.32</v>
      </c>
      <c r="BA123" s="276">
        <v>246.48</v>
      </c>
      <c r="BQ123" s="135">
        <v>102</v>
      </c>
      <c r="BR123" s="135">
        <f t="shared" si="44"/>
        <v>1102</v>
      </c>
      <c r="BS123" s="135" t="s">
        <v>1819</v>
      </c>
      <c r="EQ123" s="212"/>
      <c r="ET123" s="135" t="s">
        <v>3008</v>
      </c>
    </row>
    <row r="124" spans="4:150" ht="18.75" hidden="1" x14ac:dyDescent="0.3">
      <c r="H124" s="296"/>
      <c r="AJ124" s="135" t="s">
        <v>2916</v>
      </c>
      <c r="AX124" s="240" t="s">
        <v>2774</v>
      </c>
      <c r="AY124" s="212" t="s">
        <v>158</v>
      </c>
      <c r="AZ124" s="277">
        <f>VLOOKUP(AY124,'Tarieven VPT'!$B$6:I196,8,FALSE)</f>
        <v>55.068190648887601</v>
      </c>
      <c r="BA124" s="276"/>
      <c r="EQ124" s="212"/>
      <c r="ET124" s="135" t="s">
        <v>3009</v>
      </c>
    </row>
    <row r="125" spans="4:150" ht="18.75" hidden="1" x14ac:dyDescent="0.3">
      <c r="H125" s="296"/>
      <c r="AJ125" s="135" t="s">
        <v>2917</v>
      </c>
      <c r="AX125" s="240" t="s">
        <v>2775</v>
      </c>
      <c r="AY125" s="212" t="s">
        <v>252</v>
      </c>
      <c r="AZ125" s="277">
        <f>VLOOKUP(AY125,'Tarieven VPT'!$B$6:I197,8,FALSE)</f>
        <v>67.60618872459284</v>
      </c>
      <c r="BA125" s="276"/>
      <c r="BQ125" s="135">
        <v>103</v>
      </c>
      <c r="BR125" s="135">
        <f t="shared" si="44"/>
        <v>1103</v>
      </c>
      <c r="BS125" s="135" t="s">
        <v>1819</v>
      </c>
      <c r="EQ125" s="212"/>
      <c r="ET125" s="135" t="s">
        <v>3010</v>
      </c>
    </row>
    <row r="126" spans="4:150" ht="18.75" hidden="1" x14ac:dyDescent="0.3">
      <c r="H126" s="296"/>
      <c r="AJ126" s="135" t="s">
        <v>2918</v>
      </c>
      <c r="AX126" s="240" t="s">
        <v>2934</v>
      </c>
      <c r="AY126" s="212" t="s">
        <v>79</v>
      </c>
      <c r="AZ126" s="277">
        <f>VLOOKUP(AY126,'Tarieven VPT'!$B$6:I198,8,FALSE)</f>
        <v>96.415050082640221</v>
      </c>
      <c r="BA126" s="276"/>
      <c r="BQ126" s="135">
        <v>104</v>
      </c>
      <c r="BR126" s="135">
        <f t="shared" si="44"/>
        <v>1104</v>
      </c>
      <c r="BS126" s="135" t="s">
        <v>1819</v>
      </c>
      <c r="EQ126" s="212"/>
      <c r="ET126" s="135" t="s">
        <v>3011</v>
      </c>
    </row>
    <row r="127" spans="4:150" ht="18.75" hidden="1" x14ac:dyDescent="0.3">
      <c r="H127" s="296"/>
      <c r="AJ127" s="135" t="s">
        <v>2919</v>
      </c>
      <c r="AX127" s="240" t="s">
        <v>2935</v>
      </c>
      <c r="AY127" s="212" t="s">
        <v>177</v>
      </c>
      <c r="AZ127" s="277">
        <f>VLOOKUP(AY127,'Tarieven VPT'!$B$6:I199,8,FALSE)</f>
        <v>107.75625777497906</v>
      </c>
      <c r="BA127" s="276"/>
      <c r="BQ127" s="135">
        <v>105</v>
      </c>
      <c r="BR127" s="135">
        <f t="shared" si="44"/>
        <v>1105</v>
      </c>
      <c r="BS127" s="135" t="s">
        <v>1819</v>
      </c>
    </row>
    <row r="128" spans="4:150" ht="18.75" hidden="1" x14ac:dyDescent="0.3">
      <c r="H128" s="296"/>
      <c r="AJ128" s="135" t="s">
        <v>2920</v>
      </c>
      <c r="AX128" s="240" t="s">
        <v>2776</v>
      </c>
      <c r="AY128" s="212" t="s">
        <v>220</v>
      </c>
      <c r="AZ128" s="277">
        <f>VLOOKUP(AY128,'Tarieven VPT'!$B$6:I200,8,FALSE)</f>
        <v>93.287151444190116</v>
      </c>
      <c r="BA128" s="276"/>
      <c r="BQ128" s="135">
        <v>106</v>
      </c>
      <c r="BR128" s="135">
        <f t="shared" si="44"/>
        <v>1106</v>
      </c>
      <c r="BS128" s="135" t="s">
        <v>1819</v>
      </c>
    </row>
    <row r="129" spans="8:71" ht="18.75" hidden="1" x14ac:dyDescent="0.3">
      <c r="H129" s="296"/>
      <c r="AJ129" s="135" t="s">
        <v>2921</v>
      </c>
      <c r="AX129" s="240" t="s">
        <v>2777</v>
      </c>
      <c r="AY129" s="212" t="s">
        <v>275</v>
      </c>
      <c r="AZ129" s="277">
        <f>VLOOKUP(AY129,'Tarieven VPT'!$B$6:I201,8,FALSE)</f>
        <v>114.18009999028516</v>
      </c>
      <c r="BA129" s="276"/>
      <c r="BQ129" s="135">
        <v>107</v>
      </c>
      <c r="BR129" s="135">
        <f t="shared" si="44"/>
        <v>1107</v>
      </c>
      <c r="BS129" s="135" t="s">
        <v>1819</v>
      </c>
    </row>
    <row r="130" spans="8:71" ht="18.75" hidden="1" x14ac:dyDescent="0.3">
      <c r="H130" s="296"/>
      <c r="AJ130" s="135" t="s">
        <v>2922</v>
      </c>
      <c r="AX130" s="240" t="s">
        <v>2778</v>
      </c>
      <c r="AY130" s="212" t="s">
        <v>288</v>
      </c>
      <c r="AZ130" s="277">
        <f>VLOOKUP(AY130,'Tarieven VPT'!$B$6:I202,8,FALSE)</f>
        <v>152.73167493660105</v>
      </c>
      <c r="BA130" s="276"/>
      <c r="BQ130" s="135">
        <v>108</v>
      </c>
      <c r="BR130" s="135">
        <f t="shared" si="44"/>
        <v>1108</v>
      </c>
      <c r="BS130" s="135" t="s">
        <v>1819</v>
      </c>
    </row>
    <row r="131" spans="8:71" ht="18.75" hidden="1" x14ac:dyDescent="0.3">
      <c r="H131" s="296"/>
      <c r="AJ131" s="135" t="s">
        <v>2923</v>
      </c>
      <c r="AX131" s="240" t="s">
        <v>2779</v>
      </c>
      <c r="AY131" s="212" t="s">
        <v>310</v>
      </c>
      <c r="AZ131" s="277">
        <f>VLOOKUP(AY131,'Tarieven VPT'!$B$6:I203,8,FALSE)</f>
        <v>119.0066787459839</v>
      </c>
      <c r="BA131" s="276"/>
      <c r="BQ131" s="135">
        <v>109</v>
      </c>
      <c r="BR131" s="135">
        <f t="shared" si="44"/>
        <v>1109</v>
      </c>
      <c r="BS131" s="135" t="s">
        <v>1819</v>
      </c>
    </row>
    <row r="132" spans="8:71" ht="18.75" hidden="1" x14ac:dyDescent="0.3">
      <c r="H132" s="296"/>
      <c r="AJ132" s="135" t="s">
        <v>2924</v>
      </c>
      <c r="AX132" s="240" t="s">
        <v>2780</v>
      </c>
      <c r="AY132" s="212" t="s">
        <v>147</v>
      </c>
      <c r="AZ132" s="277">
        <f>VLOOKUP(AY132,'Tarieven VPT'!$B$6:I204,8,FALSE)</f>
        <v>165.86764084009522</v>
      </c>
      <c r="BA132" s="276"/>
      <c r="BQ132" s="135">
        <v>600</v>
      </c>
      <c r="BR132" s="135">
        <f t="shared" si="44"/>
        <v>1600</v>
      </c>
      <c r="BS132" s="135" t="s">
        <v>2697</v>
      </c>
    </row>
    <row r="133" spans="8:71" ht="18.75" hidden="1" x14ac:dyDescent="0.3">
      <c r="H133" s="296"/>
      <c r="AJ133" s="135" t="s">
        <v>2925</v>
      </c>
      <c r="AX133" s="240" t="s">
        <v>2781</v>
      </c>
      <c r="AY133" s="212" t="s">
        <v>373</v>
      </c>
      <c r="AZ133" s="277">
        <f>VLOOKUP(AY133,'Tarieven VPT'!$B$6:I205,8,FALSE)</f>
        <v>179.99244424591183</v>
      </c>
      <c r="BA133" s="276"/>
      <c r="BQ133" s="135">
        <v>601</v>
      </c>
      <c r="BR133" s="135">
        <f t="shared" si="44"/>
        <v>1601</v>
      </c>
      <c r="BS133" s="135" t="s">
        <v>2697</v>
      </c>
    </row>
    <row r="134" spans="8:71" ht="18.75" hidden="1" x14ac:dyDescent="0.3">
      <c r="H134" s="296"/>
      <c r="AX134" s="240" t="s">
        <v>2936</v>
      </c>
      <c r="AY134" s="212" t="s">
        <v>266</v>
      </c>
      <c r="AZ134" s="277">
        <f>VLOOKUP(AY134,'Tarieven VPT'!$B$6:I206,8,FALSE)</f>
        <v>131.4914663364832</v>
      </c>
      <c r="BA134" s="276"/>
      <c r="BQ134" s="135">
        <v>602</v>
      </c>
      <c r="BR134" s="135">
        <f t="shared" si="44"/>
        <v>1602</v>
      </c>
      <c r="BS134" s="135" t="s">
        <v>2697</v>
      </c>
    </row>
    <row r="135" spans="8:71" ht="18.75" hidden="1" x14ac:dyDescent="0.3">
      <c r="H135" s="296"/>
      <c r="AX135" s="240" t="s">
        <v>2937</v>
      </c>
      <c r="AY135" s="212" t="s">
        <v>231</v>
      </c>
      <c r="AZ135" s="277">
        <f>VLOOKUP(AY135,'Tarieven VPT'!$B$6:I207,8,FALSE)</f>
        <v>151.54120822519087</v>
      </c>
      <c r="BA135" s="276"/>
      <c r="BQ135" s="135">
        <v>603</v>
      </c>
      <c r="BR135" s="135">
        <f t="shared" si="44"/>
        <v>1603</v>
      </c>
      <c r="BS135" s="135" t="s">
        <v>2697</v>
      </c>
    </row>
    <row r="136" spans="8:71" ht="18.75" hidden="1" x14ac:dyDescent="0.3">
      <c r="H136" s="296"/>
      <c r="AX136" s="240" t="s">
        <v>2938</v>
      </c>
      <c r="AY136" s="212" t="s">
        <v>366</v>
      </c>
      <c r="AZ136" s="277">
        <f>VLOOKUP(AY136,'Tarieven VPT'!$B$6:I208,8,FALSE)</f>
        <v>210.93112676448183</v>
      </c>
      <c r="BA136" s="276"/>
      <c r="BQ136" s="135">
        <v>604</v>
      </c>
      <c r="BR136" s="135">
        <f t="shared" si="44"/>
        <v>1604</v>
      </c>
      <c r="BS136" s="135" t="s">
        <v>2697</v>
      </c>
    </row>
    <row r="137" spans="8:71" ht="18.75" hidden="1" x14ac:dyDescent="0.3">
      <c r="H137" s="296"/>
      <c r="AX137" s="240" t="s">
        <v>2939</v>
      </c>
      <c r="AY137" s="212" t="s">
        <v>102</v>
      </c>
      <c r="AZ137" s="277">
        <f>VLOOKUP(AY137,'Tarieven VPT'!$B$6:I209,8,FALSE)</f>
        <v>175.60430021850138</v>
      </c>
      <c r="BA137" s="276"/>
      <c r="BQ137" s="135">
        <v>605</v>
      </c>
      <c r="BR137" s="135">
        <f t="shared" si="44"/>
        <v>1605</v>
      </c>
      <c r="BS137" s="135" t="s">
        <v>2698</v>
      </c>
    </row>
    <row r="138" spans="8:71" ht="18.75" hidden="1" x14ac:dyDescent="0.3">
      <c r="H138" s="296"/>
      <c r="AX138" s="240" t="s">
        <v>2940</v>
      </c>
      <c r="AY138" s="212" t="s">
        <v>142</v>
      </c>
      <c r="AZ138" s="277">
        <f>VLOOKUP(AY138,'Tarieven VPT'!$B$6:I210,8,FALSE)</f>
        <v>230.84675211815735</v>
      </c>
      <c r="BA138" s="276"/>
      <c r="BQ138" s="135">
        <v>606</v>
      </c>
      <c r="BR138" s="135">
        <f t="shared" si="44"/>
        <v>1606</v>
      </c>
      <c r="BS138" s="135" t="s">
        <v>2697</v>
      </c>
    </row>
    <row r="139" spans="8:71" ht="18.75" hidden="1" x14ac:dyDescent="0.3">
      <c r="H139" s="296"/>
      <c r="AX139" s="240" t="s">
        <v>2941</v>
      </c>
      <c r="AY139" s="212" t="s">
        <v>250</v>
      </c>
      <c r="AZ139" s="277">
        <f>VLOOKUP(AY139,'Tarieven VPT'!$B$6:I211,8,FALSE)</f>
        <v>259.80490390839009</v>
      </c>
      <c r="BA139" s="276"/>
      <c r="BQ139" s="135">
        <v>607</v>
      </c>
      <c r="BR139" s="135">
        <f t="shared" si="44"/>
        <v>1607</v>
      </c>
      <c r="BS139" s="135" t="s">
        <v>2697</v>
      </c>
    </row>
    <row r="140" spans="8:71" ht="18.75" hidden="1" x14ac:dyDescent="0.3">
      <c r="H140" s="296"/>
      <c r="AX140" s="240" t="s">
        <v>2942</v>
      </c>
      <c r="AY140" s="212" t="s">
        <v>235</v>
      </c>
      <c r="AZ140" s="277">
        <f>VLOOKUP(AY140,'Tarieven VPT'!$B$6:I212,8,FALSE)</f>
        <v>115.46805264508852</v>
      </c>
      <c r="BA140" s="276"/>
      <c r="BQ140" s="135">
        <v>608</v>
      </c>
      <c r="BR140" s="135">
        <f t="shared" si="44"/>
        <v>1608</v>
      </c>
      <c r="BS140" s="135" t="s">
        <v>2697</v>
      </c>
    </row>
    <row r="141" spans="8:71" ht="18.75" hidden="1" x14ac:dyDescent="0.3">
      <c r="H141" s="296"/>
      <c r="AX141" s="240" t="s">
        <v>2943</v>
      </c>
      <c r="AY141" s="212" t="s">
        <v>318</v>
      </c>
      <c r="AZ141" s="277">
        <f>VLOOKUP(AY141,'Tarieven VPT'!$B$6:I213,8,FALSE)</f>
        <v>152.13073370320529</v>
      </c>
      <c r="BA141" s="276"/>
      <c r="BQ141" s="135">
        <v>609</v>
      </c>
      <c r="BR141" s="135">
        <f t="shared" si="44"/>
        <v>1609</v>
      </c>
      <c r="BS141" s="135" t="s">
        <v>2697</v>
      </c>
    </row>
    <row r="142" spans="8:71" ht="18.75" hidden="1" x14ac:dyDescent="0.3">
      <c r="H142" s="296"/>
      <c r="AX142" s="240" t="s">
        <v>2944</v>
      </c>
      <c r="AY142" s="212" t="s">
        <v>202</v>
      </c>
      <c r="AZ142" s="277">
        <f>VLOOKUP(AY142,'Tarieven VPT'!$B$6:I214,8,FALSE)</f>
        <v>184.47737520901404</v>
      </c>
      <c r="BA142" s="276"/>
      <c r="BQ142" s="135">
        <v>610</v>
      </c>
      <c r="BR142" s="135">
        <f t="shared" si="44"/>
        <v>1610</v>
      </c>
      <c r="BS142" s="135" t="s">
        <v>2697</v>
      </c>
    </row>
    <row r="143" spans="8:71" ht="18.75" hidden="1" x14ac:dyDescent="0.3">
      <c r="H143" s="296"/>
      <c r="AX143" s="240" t="s">
        <v>2945</v>
      </c>
      <c r="AY143" s="212" t="s">
        <v>64</v>
      </c>
      <c r="AZ143" s="277">
        <f>VLOOKUP(AY143,'Tarieven VPT'!$B$6:I215,8,FALSE)</f>
        <v>161.16430097526481</v>
      </c>
      <c r="BA143" s="276"/>
      <c r="BQ143" s="135">
        <v>611</v>
      </c>
      <c r="BR143" s="135">
        <f t="shared" si="44"/>
        <v>1611</v>
      </c>
      <c r="BS143" s="135" t="s">
        <v>2697</v>
      </c>
    </row>
    <row r="144" spans="8:71" ht="18.75" hidden="1" x14ac:dyDescent="0.3">
      <c r="H144" s="296"/>
      <c r="AX144" s="240" t="s">
        <v>2946</v>
      </c>
      <c r="AY144" s="212" t="s">
        <v>329</v>
      </c>
      <c r="AZ144" s="277">
        <f>VLOOKUP(AY144,'Tarieven VPT'!$B$6:I216,8,FALSE)</f>
        <v>239.27611006464548</v>
      </c>
      <c r="BA144" s="276"/>
      <c r="BQ144" s="135">
        <v>612</v>
      </c>
      <c r="BR144" s="135">
        <f t="shared" si="44"/>
        <v>1612</v>
      </c>
      <c r="BS144" s="135" t="s">
        <v>2697</v>
      </c>
    </row>
    <row r="145" spans="8:71" ht="18.75" hidden="1" x14ac:dyDescent="0.3">
      <c r="H145" s="296"/>
      <c r="AX145" s="240" t="s">
        <v>2947</v>
      </c>
      <c r="AY145" s="212" t="s">
        <v>282</v>
      </c>
      <c r="AZ145" s="277">
        <f>VLOOKUP(AY145,'Tarieven VPT'!$B$6:I217,8,FALSE)</f>
        <v>223.72966023292321</v>
      </c>
      <c r="BA145" s="276"/>
      <c r="BQ145" s="135">
        <v>613</v>
      </c>
      <c r="BR145" s="135">
        <f t="shared" si="44"/>
        <v>1613</v>
      </c>
      <c r="BS145" s="135" t="s">
        <v>2697</v>
      </c>
    </row>
    <row r="146" spans="8:71" ht="18.75" hidden="1" x14ac:dyDescent="0.3">
      <c r="H146" s="296"/>
      <c r="AX146" s="240" t="s">
        <v>2948</v>
      </c>
      <c r="AY146" s="212" t="s">
        <v>300</v>
      </c>
      <c r="AZ146" s="277">
        <f>VLOOKUP(AY146,'Tarieven VPT'!$B$6:I218,8,FALSE)</f>
        <v>154.70675128844843</v>
      </c>
      <c r="BA146" s="276"/>
      <c r="BQ146" s="135">
        <v>614</v>
      </c>
      <c r="BR146" s="135">
        <f t="shared" si="44"/>
        <v>1614</v>
      </c>
      <c r="BS146" s="135" t="s">
        <v>2697</v>
      </c>
    </row>
    <row r="147" spans="8:71" ht="18.75" hidden="1" x14ac:dyDescent="0.3">
      <c r="H147" s="296"/>
      <c r="AX147" s="240" t="s">
        <v>2949</v>
      </c>
      <c r="AY147" s="212" t="s">
        <v>105</v>
      </c>
      <c r="AZ147" s="277">
        <f>VLOOKUP(AY147,'Tarieven VPT'!$B$6:I219,8,FALSE)</f>
        <v>179.36590562348201</v>
      </c>
      <c r="BA147" s="276"/>
      <c r="BQ147" s="135">
        <v>615</v>
      </c>
      <c r="BR147" s="135">
        <f t="shared" si="44"/>
        <v>1615</v>
      </c>
      <c r="BS147" s="135" t="s">
        <v>2697</v>
      </c>
    </row>
    <row r="148" spans="8:71" ht="18.75" hidden="1" x14ac:dyDescent="0.3">
      <c r="H148" s="296"/>
      <c r="AX148" s="240" t="s">
        <v>2950</v>
      </c>
      <c r="AY148" s="212" t="s">
        <v>350</v>
      </c>
      <c r="AZ148" s="277">
        <f>VLOOKUP(AY148,'Tarieven VPT'!$B$6:I220,8,FALSE)</f>
        <v>245.14695216184711</v>
      </c>
      <c r="BA148" s="276"/>
      <c r="BQ148" s="135">
        <v>616</v>
      </c>
      <c r="BR148" s="135">
        <f t="shared" si="44"/>
        <v>1616</v>
      </c>
      <c r="BS148" s="135" t="s">
        <v>2697</v>
      </c>
    </row>
    <row r="149" spans="8:71" ht="18.75" hidden="1" x14ac:dyDescent="0.3">
      <c r="H149" s="296"/>
      <c r="AX149" s="240" t="s">
        <v>2951</v>
      </c>
      <c r="AY149" s="212" t="s">
        <v>223</v>
      </c>
      <c r="AZ149" s="277">
        <f>VLOOKUP(AY149,'Tarieven VPT'!$B$6:I221,8,FALSE)</f>
        <v>208.75965302995925</v>
      </c>
      <c r="BA149" s="276"/>
      <c r="BQ149" s="135">
        <v>617</v>
      </c>
      <c r="BR149" s="135">
        <f t="shared" si="44"/>
        <v>1617</v>
      </c>
      <c r="BS149" s="135" t="s">
        <v>2697</v>
      </c>
    </row>
    <row r="150" spans="8:71" ht="18.75" hidden="1" x14ac:dyDescent="0.3">
      <c r="H150" s="296"/>
      <c r="AX150" s="240" t="s">
        <v>2952</v>
      </c>
      <c r="AY150" s="212" t="s">
        <v>183</v>
      </c>
      <c r="AZ150" s="277">
        <f>VLOOKUP(AY150,'Tarieven VPT'!$B$6:I222,8,FALSE)</f>
        <v>238.35903833245359</v>
      </c>
      <c r="BA150" s="276"/>
      <c r="BQ150" s="135">
        <v>618</v>
      </c>
      <c r="BR150" s="135">
        <f t="shared" si="44"/>
        <v>1618</v>
      </c>
      <c r="BS150" s="135" t="s">
        <v>2697</v>
      </c>
    </row>
    <row r="151" spans="8:71" ht="18.75" hidden="1" x14ac:dyDescent="0.3">
      <c r="H151" s="296"/>
      <c r="AX151" s="240" t="s">
        <v>2953</v>
      </c>
      <c r="AY151" s="212" t="s">
        <v>352</v>
      </c>
      <c r="AZ151" s="277">
        <f>VLOOKUP(AY151,'Tarieven VPT'!$B$6:I223,8,FALSE)</f>
        <v>302.03622393979742</v>
      </c>
      <c r="BA151" s="276"/>
      <c r="BQ151" s="135">
        <v>619</v>
      </c>
      <c r="BR151" s="135">
        <f t="shared" si="44"/>
        <v>1619</v>
      </c>
      <c r="BS151" s="135" t="s">
        <v>2697</v>
      </c>
    </row>
    <row r="152" spans="8:71" ht="18.75" hidden="1" x14ac:dyDescent="0.3">
      <c r="H152" s="296"/>
      <c r="AX152" s="240" t="s">
        <v>2782</v>
      </c>
      <c r="AY152" s="212" t="s">
        <v>126</v>
      </c>
      <c r="AZ152" s="277">
        <f>VLOOKUP(AY152,'Tarieven VPT'!$B$6:I224,8,FALSE)</f>
        <v>181.71156252222264</v>
      </c>
      <c r="BA152" s="207"/>
      <c r="BQ152" s="135">
        <v>620</v>
      </c>
      <c r="BR152" s="135">
        <f t="shared" si="44"/>
        <v>1620</v>
      </c>
      <c r="BS152" s="135" t="s">
        <v>2697</v>
      </c>
    </row>
    <row r="153" spans="8:71" ht="18.75" hidden="1" x14ac:dyDescent="0.3">
      <c r="H153" s="296"/>
      <c r="AX153" s="240" t="s">
        <v>2783</v>
      </c>
      <c r="AY153" s="212" t="s">
        <v>257</v>
      </c>
      <c r="AZ153" s="277">
        <f>VLOOKUP(AY153,'Tarieven VPT'!$B$6:I225,8,FALSE)</f>
        <v>223.02982540497803</v>
      </c>
      <c r="BA153" s="207"/>
      <c r="BQ153" s="135">
        <v>621</v>
      </c>
      <c r="BR153" s="135">
        <f t="shared" si="44"/>
        <v>1621</v>
      </c>
      <c r="BS153" s="135" t="s">
        <v>2697</v>
      </c>
    </row>
    <row r="154" spans="8:71" ht="18.75" hidden="1" x14ac:dyDescent="0.3">
      <c r="H154" s="296"/>
      <c r="AX154" s="240" t="s">
        <v>2784</v>
      </c>
      <c r="AY154" s="212" t="s">
        <v>272</v>
      </c>
      <c r="AZ154" s="277">
        <f>VLOOKUP(AY154,'Tarieven VPT'!$B$6:I226,8,FALSE)</f>
        <v>288.0679873296308</v>
      </c>
      <c r="BA154" s="207"/>
      <c r="BQ154" s="135">
        <v>622</v>
      </c>
      <c r="BR154" s="135">
        <f t="shared" si="44"/>
        <v>1622</v>
      </c>
      <c r="BS154" s="135" t="s">
        <v>2697</v>
      </c>
    </row>
    <row r="155" spans="8:71" ht="18.75" hidden="1" x14ac:dyDescent="0.3">
      <c r="H155" s="296"/>
      <c r="AX155" s="240" t="s">
        <v>2785</v>
      </c>
      <c r="AY155" s="212" t="s">
        <v>241</v>
      </c>
      <c r="AZ155" s="277">
        <f>VLOOKUP(AY155,'Tarieven VPT'!$B$6:I227,8,FALSE)</f>
        <v>336.20734898974183</v>
      </c>
      <c r="BA155" s="207"/>
      <c r="BQ155" s="135">
        <v>623</v>
      </c>
      <c r="BR155" s="135">
        <f t="shared" si="44"/>
        <v>1623</v>
      </c>
      <c r="BS155" s="135" t="s">
        <v>2697</v>
      </c>
    </row>
    <row r="156" spans="8:71" ht="18.75" hidden="1" x14ac:dyDescent="0.3">
      <c r="H156" s="296"/>
      <c r="AX156" s="240" t="s">
        <v>2786</v>
      </c>
      <c r="AY156" s="212" t="s">
        <v>206</v>
      </c>
      <c r="AZ156" s="277">
        <f>VLOOKUP(AY156,'Tarieven VPT'!$B$6:I228,8,FALSE)</f>
        <v>318.4879602792123</v>
      </c>
      <c r="BA156" s="207"/>
      <c r="BQ156" s="135">
        <v>624</v>
      </c>
      <c r="BR156" s="135">
        <f t="shared" si="44"/>
        <v>1624</v>
      </c>
      <c r="BS156" s="135" t="s">
        <v>2697</v>
      </c>
    </row>
    <row r="157" spans="8:71" ht="18.75" hidden="1" x14ac:dyDescent="0.3">
      <c r="H157" s="296"/>
      <c r="AX157" s="240" t="s">
        <v>2787</v>
      </c>
      <c r="AY157" s="212" t="s">
        <v>566</v>
      </c>
      <c r="AZ157" s="277">
        <f>VLOOKUP(AY157,'Tarieven VPT'!$B$6:I229,8,FALSE)</f>
        <v>348.95</v>
      </c>
      <c r="BA157" s="207"/>
      <c r="BQ157" s="135">
        <v>625</v>
      </c>
      <c r="BR157" s="135">
        <f t="shared" si="44"/>
        <v>1625</v>
      </c>
      <c r="BS157" s="135" t="s">
        <v>2697</v>
      </c>
    </row>
    <row r="158" spans="8:71" ht="18.75" hidden="1" x14ac:dyDescent="0.3">
      <c r="H158" s="296"/>
      <c r="AX158" s="240" t="s">
        <v>2788</v>
      </c>
      <c r="AY158" s="212" t="s">
        <v>217</v>
      </c>
      <c r="AZ158" s="277">
        <f>VLOOKUP(AY158,'Tarieven VPT'!$B$6:I230,8,FALSE)</f>
        <v>80.184296978590254</v>
      </c>
      <c r="BA158" s="207"/>
      <c r="BQ158" s="135">
        <v>626</v>
      </c>
      <c r="BR158" s="135">
        <f t="shared" si="44"/>
        <v>1626</v>
      </c>
      <c r="BS158" s="135" t="s">
        <v>2697</v>
      </c>
    </row>
    <row r="159" spans="8:71" ht="18.75" hidden="1" x14ac:dyDescent="0.3">
      <c r="H159" s="296"/>
      <c r="AX159" s="240" t="s">
        <v>2789</v>
      </c>
      <c r="AY159" s="212" t="s">
        <v>123</v>
      </c>
      <c r="AZ159" s="277">
        <f>VLOOKUP(AY159,'Tarieven VPT'!$B$6:I231,8,FALSE)</f>
        <v>116.95853183103148</v>
      </c>
      <c r="BA159" s="207"/>
      <c r="BQ159" s="135">
        <v>627</v>
      </c>
      <c r="BR159" s="135">
        <f t="shared" si="44"/>
        <v>1627</v>
      </c>
      <c r="BS159" s="135" t="s">
        <v>2697</v>
      </c>
    </row>
    <row r="160" spans="8:71" ht="18.75" hidden="1" x14ac:dyDescent="0.3">
      <c r="H160" s="296"/>
      <c r="AX160" s="240" t="s">
        <v>2954</v>
      </c>
      <c r="AY160" s="212" t="s">
        <v>112</v>
      </c>
      <c r="AZ160" s="277">
        <f>VLOOKUP(AY160,'Tarieven VPT'!$B$6:I232,8,FALSE)</f>
        <v>137.48513266821516</v>
      </c>
      <c r="BA160" s="207"/>
      <c r="BQ160" s="135">
        <v>628</v>
      </c>
      <c r="BR160" s="135">
        <f t="shared" si="44"/>
        <v>1628</v>
      </c>
      <c r="BS160" s="135" t="s">
        <v>2697</v>
      </c>
    </row>
    <row r="161" spans="8:71" ht="18.75" hidden="1" x14ac:dyDescent="0.3">
      <c r="H161" s="296"/>
      <c r="AX161" s="240" t="s">
        <v>2955</v>
      </c>
      <c r="AY161" s="212" t="s">
        <v>278</v>
      </c>
      <c r="AZ161" s="277">
        <f>VLOOKUP(AY161,'Tarieven VPT'!$B$6:I233,8,FALSE)</f>
        <v>163.83821857130852</v>
      </c>
      <c r="BA161" s="207"/>
      <c r="BQ161" s="135">
        <v>629</v>
      </c>
      <c r="BR161" s="135">
        <f t="shared" si="44"/>
        <v>1629</v>
      </c>
      <c r="BS161" s="135" t="s">
        <v>2697</v>
      </c>
    </row>
    <row r="162" spans="8:71" ht="18.75" hidden="1" x14ac:dyDescent="0.3">
      <c r="H162" s="296"/>
      <c r="AX162" s="240" t="s">
        <v>2790</v>
      </c>
      <c r="AY162" s="212" t="s">
        <v>255</v>
      </c>
      <c r="AZ162" s="277">
        <f>VLOOKUP(AY162,'Tarieven VPT'!$B$6:I234,8,FALSE)</f>
        <v>90.655774999477799</v>
      </c>
      <c r="BA162" s="207"/>
      <c r="BQ162" s="135">
        <v>630</v>
      </c>
      <c r="BR162" s="135">
        <f t="shared" si="44"/>
        <v>1630</v>
      </c>
      <c r="BS162" s="135" t="s">
        <v>2697</v>
      </c>
    </row>
    <row r="163" spans="8:71" ht="18.75" hidden="1" x14ac:dyDescent="0.3">
      <c r="H163" s="296"/>
      <c r="AX163" s="240" t="s">
        <v>2791</v>
      </c>
      <c r="AY163" s="212" t="s">
        <v>343</v>
      </c>
      <c r="AZ163" s="277">
        <f>VLOOKUP(AY163,'Tarieven VPT'!$B$6:I235,8,FALSE)</f>
        <v>142.10788125402721</v>
      </c>
      <c r="BA163" s="207"/>
      <c r="BQ163" s="135">
        <v>631</v>
      </c>
      <c r="BR163" s="135">
        <f t="shared" si="44"/>
        <v>1631</v>
      </c>
      <c r="BS163" s="135" t="s">
        <v>2697</v>
      </c>
    </row>
    <row r="164" spans="8:71" ht="18.75" hidden="1" x14ac:dyDescent="0.3">
      <c r="H164" s="296"/>
      <c r="AX164" s="240" t="s">
        <v>2792</v>
      </c>
      <c r="AY164" s="212" t="s">
        <v>143</v>
      </c>
      <c r="AZ164" s="277">
        <f>VLOOKUP(AY164,'Tarieven VPT'!$B$6:I236,8,FALSE)</f>
        <v>143.71202121814392</v>
      </c>
      <c r="BA164" s="207"/>
      <c r="BQ164" s="135">
        <v>632</v>
      </c>
      <c r="BR164" s="135">
        <f t="shared" si="44"/>
        <v>1632</v>
      </c>
      <c r="BS164" s="135" t="s">
        <v>2697</v>
      </c>
    </row>
    <row r="165" spans="8:71" ht="18.75" hidden="1" x14ac:dyDescent="0.3">
      <c r="H165" s="296"/>
      <c r="AX165" s="240" t="s">
        <v>2793</v>
      </c>
      <c r="AY165" s="212" t="s">
        <v>228</v>
      </c>
      <c r="AZ165" s="277">
        <f>VLOOKUP(AY165,'Tarieven VPT'!$B$6:I237,8,FALSE)</f>
        <v>199.55888424457731</v>
      </c>
      <c r="BA165" s="207"/>
      <c r="BQ165" s="135">
        <v>633</v>
      </c>
      <c r="BR165" s="135">
        <f t="shared" si="44"/>
        <v>1633</v>
      </c>
      <c r="BS165" s="135" t="s">
        <v>2697</v>
      </c>
    </row>
    <row r="166" spans="8:71" ht="18.75" hidden="1" x14ac:dyDescent="0.3">
      <c r="H166" s="296"/>
      <c r="AX166" s="240" t="s">
        <v>2794</v>
      </c>
      <c r="AY166" s="212" t="s">
        <v>162</v>
      </c>
      <c r="AZ166" s="277">
        <f>VLOOKUP(AY166,'Tarieven VPT'!$B$6:I238,8,FALSE)</f>
        <v>226.16216367750789</v>
      </c>
      <c r="BA166" s="207"/>
      <c r="BQ166" s="135">
        <v>634</v>
      </c>
      <c r="BR166" s="135">
        <f t="shared" si="44"/>
        <v>1634</v>
      </c>
      <c r="BS166" s="135" t="s">
        <v>2697</v>
      </c>
    </row>
    <row r="167" spans="8:71" ht="18.75" hidden="1" x14ac:dyDescent="0.3">
      <c r="H167" s="296"/>
      <c r="AX167" s="240" t="s">
        <v>2956</v>
      </c>
      <c r="AY167" s="212" t="s">
        <v>137</v>
      </c>
      <c r="AZ167" s="277">
        <f>VLOOKUP(AY167,'Tarieven VPT'!$B$6:I239,8,FALSE)</f>
        <v>150.45595914004181</v>
      </c>
      <c r="BA167" s="207"/>
      <c r="BQ167" s="135">
        <v>635</v>
      </c>
      <c r="BR167" s="135">
        <f t="shared" si="44"/>
        <v>1635</v>
      </c>
      <c r="BS167" s="135" t="s">
        <v>2697</v>
      </c>
    </row>
    <row r="168" spans="8:71" ht="18.75" hidden="1" x14ac:dyDescent="0.3">
      <c r="H168" s="296"/>
      <c r="AX168" s="240" t="s">
        <v>2957</v>
      </c>
      <c r="AY168" s="212" t="s">
        <v>337</v>
      </c>
      <c r="AZ168" s="277">
        <f>VLOOKUP(AY168,'Tarieven VPT'!$B$6:I240,8,FALSE)</f>
        <v>190.47142705547108</v>
      </c>
      <c r="BA168" s="207"/>
      <c r="BQ168" s="135">
        <v>636</v>
      </c>
      <c r="BR168" s="135">
        <f t="shared" si="44"/>
        <v>1636</v>
      </c>
      <c r="BS168" s="135" t="s">
        <v>2697</v>
      </c>
    </row>
    <row r="169" spans="8:71" ht="18.75" hidden="1" x14ac:dyDescent="0.3">
      <c r="H169" s="296"/>
      <c r="AX169" s="240" t="s">
        <v>2958</v>
      </c>
      <c r="AY169" s="212" t="s">
        <v>156</v>
      </c>
      <c r="AZ169" s="277">
        <f>VLOOKUP(AY169,'Tarieven VPT'!$B$6:I241,8,FALSE)</f>
        <v>200.73978357890778</v>
      </c>
      <c r="BA169" s="207"/>
      <c r="BQ169" s="135">
        <v>637</v>
      </c>
      <c r="BR169" s="135">
        <f t="shared" si="44"/>
        <v>1637</v>
      </c>
      <c r="BS169" s="135" t="s">
        <v>2697</v>
      </c>
    </row>
    <row r="170" spans="8:71" ht="18.75" hidden="1" x14ac:dyDescent="0.3">
      <c r="H170" s="296"/>
      <c r="AX170" s="240" t="s">
        <v>2959</v>
      </c>
      <c r="AY170" s="212" t="s">
        <v>364</v>
      </c>
      <c r="AZ170" s="277">
        <f>VLOOKUP(AY170,'Tarieven VPT'!$B$6:I242,8,FALSE)</f>
        <v>245.51635082370001</v>
      </c>
      <c r="BA170" s="207"/>
      <c r="BQ170" s="135">
        <v>638</v>
      </c>
      <c r="BR170" s="135">
        <f t="shared" si="44"/>
        <v>1638</v>
      </c>
      <c r="BS170" s="135" t="s">
        <v>2697</v>
      </c>
    </row>
    <row r="171" spans="8:71" ht="18.75" hidden="1" x14ac:dyDescent="0.3">
      <c r="H171" s="296"/>
      <c r="AX171" s="240" t="s">
        <v>2960</v>
      </c>
      <c r="AY171" s="212" t="s">
        <v>68</v>
      </c>
      <c r="AZ171" s="277">
        <f>VLOOKUP(AY171,'Tarieven VPT'!$B$6:I243,8,FALSE)</f>
        <v>273.78000006019209</v>
      </c>
      <c r="BA171" s="207"/>
      <c r="BQ171" s="135">
        <v>639</v>
      </c>
      <c r="BR171" s="135">
        <f t="shared" si="44"/>
        <v>1639</v>
      </c>
      <c r="BS171" s="135" t="s">
        <v>2697</v>
      </c>
    </row>
    <row r="172" spans="8:71" ht="18.75" hidden="1" x14ac:dyDescent="0.3">
      <c r="H172" s="296"/>
      <c r="AX172" s="240" t="s">
        <v>2961</v>
      </c>
      <c r="AY172" s="212" t="s">
        <v>181</v>
      </c>
      <c r="AZ172" s="277">
        <f>VLOOKUP(AY172,'Tarieven VPT'!$B$6:I244,8,FALSE)</f>
        <v>113.98401609027584</v>
      </c>
      <c r="BA172" s="207"/>
      <c r="BQ172" s="135">
        <v>500</v>
      </c>
      <c r="BR172" s="135">
        <f t="shared" ref="BR172:BR191" si="45">BQ172+1000</f>
        <v>1500</v>
      </c>
      <c r="BS172" s="135" t="s">
        <v>2697</v>
      </c>
    </row>
    <row r="173" spans="8:71" ht="18.75" hidden="1" x14ac:dyDescent="0.3">
      <c r="H173" s="296"/>
      <c r="AX173" s="240" t="s">
        <v>2962</v>
      </c>
      <c r="AY173" s="212" t="s">
        <v>233</v>
      </c>
      <c r="AZ173" s="277">
        <f>VLOOKUP(AY173,'Tarieven VPT'!$B$6:I245,8,FALSE)</f>
        <v>178.61620771845716</v>
      </c>
      <c r="BA173" s="207"/>
      <c r="BQ173" s="135">
        <v>501</v>
      </c>
      <c r="BR173" s="135">
        <f t="shared" si="45"/>
        <v>1501</v>
      </c>
      <c r="BS173" s="135" t="s">
        <v>2698</v>
      </c>
    </row>
    <row r="174" spans="8:71" ht="18.75" hidden="1" x14ac:dyDescent="0.3">
      <c r="AX174" s="240" t="s">
        <v>2963</v>
      </c>
      <c r="AY174" s="212" t="s">
        <v>155</v>
      </c>
      <c r="AZ174" s="277">
        <f>VLOOKUP(AY174,'Tarieven VPT'!$B$6:I246,8,FALSE)</f>
        <v>181.07415678270959</v>
      </c>
      <c r="BA174" s="207"/>
      <c r="BQ174" s="135">
        <v>502</v>
      </c>
      <c r="BR174" s="135">
        <f t="shared" si="45"/>
        <v>1502</v>
      </c>
      <c r="BS174" s="135" t="s">
        <v>2697</v>
      </c>
    </row>
    <row r="175" spans="8:71" ht="18.75" hidden="1" x14ac:dyDescent="0.3">
      <c r="AX175" s="240" t="s">
        <v>2964</v>
      </c>
      <c r="AY175" s="212" t="s">
        <v>380</v>
      </c>
      <c r="AZ175" s="277">
        <f>VLOOKUP(AY175,'Tarieven VPT'!$B$6:I247,8,FALSE)</f>
        <v>250.41121228386868</v>
      </c>
      <c r="BA175" s="207"/>
      <c r="BQ175" s="135">
        <v>503</v>
      </c>
      <c r="BR175" s="135">
        <f t="shared" si="45"/>
        <v>1503</v>
      </c>
      <c r="BS175" s="135" t="s">
        <v>2697</v>
      </c>
    </row>
    <row r="176" spans="8:71" ht="18.75" hidden="1" x14ac:dyDescent="0.3">
      <c r="AX176" s="240" t="s">
        <v>2965</v>
      </c>
      <c r="AY176" s="212" t="s">
        <v>178</v>
      </c>
      <c r="AZ176" s="277">
        <f>VLOOKUP(AY176,'Tarieven VPT'!$B$6:I248,8,FALSE)</f>
        <v>280.48510418164119</v>
      </c>
      <c r="BA176" s="207"/>
      <c r="BQ176" s="135">
        <v>504</v>
      </c>
      <c r="BR176" s="135">
        <f t="shared" si="45"/>
        <v>1504</v>
      </c>
      <c r="BS176" s="135" t="s">
        <v>2697</v>
      </c>
    </row>
    <row r="177" spans="50:71" ht="18.75" hidden="1" x14ac:dyDescent="0.3">
      <c r="AX177" s="240" t="s">
        <v>2966</v>
      </c>
      <c r="AY177" s="212" t="s">
        <v>301</v>
      </c>
      <c r="AZ177" s="277">
        <f>VLOOKUP(AY177,'Tarieven VPT'!$B$6:I249,8,FALSE)</f>
        <v>170.01794389718569</v>
      </c>
      <c r="BA177" s="207"/>
      <c r="BQ177" s="135">
        <v>505</v>
      </c>
      <c r="BR177" s="135">
        <f t="shared" si="45"/>
        <v>1505</v>
      </c>
      <c r="BS177" s="135" t="s">
        <v>2698</v>
      </c>
    </row>
    <row r="178" spans="50:71" ht="18.75" hidden="1" x14ac:dyDescent="0.3">
      <c r="AX178" s="240" t="s">
        <v>2967</v>
      </c>
      <c r="AY178" s="212" t="s">
        <v>273</v>
      </c>
      <c r="AZ178" s="277">
        <f>VLOOKUP(AY178,'Tarieven VPT'!$B$6:I250,8,FALSE)</f>
        <v>212.40177719969586</v>
      </c>
      <c r="BA178" s="207"/>
      <c r="BQ178" s="135">
        <v>506</v>
      </c>
      <c r="BR178" s="135">
        <f t="shared" si="45"/>
        <v>1506</v>
      </c>
      <c r="BS178" s="135" t="s">
        <v>2697</v>
      </c>
    </row>
    <row r="179" spans="50:71" ht="18.75" hidden="1" x14ac:dyDescent="0.3">
      <c r="AX179" s="240" t="s">
        <v>2968</v>
      </c>
      <c r="AY179" s="212" t="s">
        <v>165</v>
      </c>
      <c r="AZ179" s="277">
        <f>VLOOKUP(AY179,'Tarieven VPT'!$B$6:I251,8,FALSE)</f>
        <v>237.09812003179636</v>
      </c>
      <c r="BA179" s="207"/>
      <c r="BQ179" s="135">
        <v>507</v>
      </c>
      <c r="BR179" s="135">
        <f t="shared" si="45"/>
        <v>1507</v>
      </c>
      <c r="BS179" s="135" t="s">
        <v>2697</v>
      </c>
    </row>
    <row r="180" spans="50:71" ht="18.75" hidden="1" x14ac:dyDescent="0.3">
      <c r="AX180" s="240" t="s">
        <v>2969</v>
      </c>
      <c r="AY180" s="212" t="s">
        <v>289</v>
      </c>
      <c r="AZ180" s="277">
        <f>VLOOKUP(AY180,'Tarieven VPT'!$B$6:I252,8,FALSE)</f>
        <v>297.57188949870442</v>
      </c>
      <c r="BA180" s="207"/>
      <c r="BQ180" s="135">
        <v>508</v>
      </c>
      <c r="BR180" s="135">
        <f t="shared" si="45"/>
        <v>1508</v>
      </c>
      <c r="BS180" s="135" t="s">
        <v>2698</v>
      </c>
    </row>
    <row r="181" spans="50:71" ht="18.75" hidden="1" x14ac:dyDescent="0.3">
      <c r="AX181" s="240" t="s">
        <v>2970</v>
      </c>
      <c r="AY181" s="212" t="s">
        <v>134</v>
      </c>
      <c r="AZ181" s="277">
        <f>VLOOKUP(AY181,'Tarieven VPT'!$B$6:I253,8,FALSE)</f>
        <v>308.92912643792488</v>
      </c>
      <c r="BA181" s="207"/>
      <c r="BQ181" s="135">
        <v>509</v>
      </c>
      <c r="BR181" s="135">
        <f t="shared" si="45"/>
        <v>1509</v>
      </c>
      <c r="BS181" s="135" t="s">
        <v>2697</v>
      </c>
    </row>
    <row r="182" spans="50:71" ht="18.75" hidden="1" x14ac:dyDescent="0.3">
      <c r="AX182" s="240" t="s">
        <v>2795</v>
      </c>
      <c r="AY182" s="212" t="s">
        <v>360</v>
      </c>
      <c r="AZ182" s="277">
        <f>VLOOKUP(AY182,'Tarieven VPT'!$B$6:I254,8,FALSE)</f>
        <v>135.04180612422513</v>
      </c>
      <c r="BA182" s="207"/>
      <c r="BQ182" s="135">
        <v>510</v>
      </c>
      <c r="BR182" s="135">
        <f t="shared" si="45"/>
        <v>1510</v>
      </c>
      <c r="BS182" s="135" t="s">
        <v>2697</v>
      </c>
    </row>
    <row r="183" spans="50:71" ht="18.75" hidden="1" x14ac:dyDescent="0.3">
      <c r="AX183" s="240" t="s">
        <v>2798</v>
      </c>
      <c r="AY183" s="212" t="s">
        <v>190</v>
      </c>
      <c r="AZ183" s="277">
        <f>VLOOKUP(AY183,'Tarieven VPT'!$B$6:I257,8,FALSE)</f>
        <v>162.69999999999999</v>
      </c>
      <c r="BA183" s="207"/>
      <c r="BQ183" s="135">
        <v>511</v>
      </c>
      <c r="BR183" s="135">
        <f t="shared" si="45"/>
        <v>1511</v>
      </c>
      <c r="BS183" s="135" t="s">
        <v>2697</v>
      </c>
    </row>
    <row r="184" spans="50:71" ht="18.75" hidden="1" x14ac:dyDescent="0.3">
      <c r="AX184" s="240" t="s">
        <v>2796</v>
      </c>
      <c r="AY184" s="212" t="s">
        <v>173</v>
      </c>
      <c r="AZ184" s="277">
        <f>VLOOKUP(AY184,'Tarieven VPT'!$B$6:I255,8,FALSE)</f>
        <v>275.89979500224422</v>
      </c>
      <c r="BA184" s="207"/>
      <c r="BQ184" s="135">
        <v>512</v>
      </c>
      <c r="BR184" s="135">
        <f t="shared" si="45"/>
        <v>1512</v>
      </c>
      <c r="BS184" s="135" t="s">
        <v>2697</v>
      </c>
    </row>
    <row r="185" spans="50:71" ht="18.75" hidden="1" x14ac:dyDescent="0.3">
      <c r="AX185" s="240" t="s">
        <v>2797</v>
      </c>
      <c r="AY185" s="212" t="s">
        <v>195</v>
      </c>
      <c r="AZ185" s="277">
        <f>VLOOKUP(AY185,'Tarieven VPT'!$B$6:I256,8,FALSE)</f>
        <v>315.84149111145734</v>
      </c>
      <c r="BA185" s="207"/>
      <c r="BQ185" s="135">
        <v>513</v>
      </c>
      <c r="BR185" s="135">
        <f t="shared" si="45"/>
        <v>1513</v>
      </c>
      <c r="BS185" s="135" t="s">
        <v>2697</v>
      </c>
    </row>
    <row r="186" spans="50:71" ht="18.75" hidden="1" x14ac:dyDescent="0.3">
      <c r="AX186" s="240" t="s">
        <v>2971</v>
      </c>
      <c r="AY186" s="212" t="s">
        <v>65</v>
      </c>
      <c r="AZ186" s="277">
        <f>VLOOKUP(AY186,'Tarieven VPT'!$B$6:I258,8,FALSE)</f>
        <v>173.85595713082924</v>
      </c>
      <c r="BA186" s="207"/>
      <c r="BQ186" s="135">
        <v>514</v>
      </c>
      <c r="BR186" s="135">
        <f t="shared" si="45"/>
        <v>1514</v>
      </c>
      <c r="BS186" s="135" t="s">
        <v>2697</v>
      </c>
    </row>
    <row r="187" spans="50:71" ht="18.75" hidden="1" x14ac:dyDescent="0.3">
      <c r="AX187" s="240" t="s">
        <v>2974</v>
      </c>
      <c r="AY187" s="212" t="s">
        <v>264</v>
      </c>
      <c r="AZ187" s="277">
        <f>VLOOKUP(AY187,'Tarieven VPT'!$B$6:I261,8,FALSE)</f>
        <v>225.79000000000002</v>
      </c>
      <c r="BA187" s="207"/>
      <c r="BQ187" s="135">
        <v>515</v>
      </c>
      <c r="BR187" s="135">
        <f t="shared" si="45"/>
        <v>1515</v>
      </c>
      <c r="BS187" s="135" t="s">
        <v>2697</v>
      </c>
    </row>
    <row r="188" spans="50:71" ht="18.75" hidden="1" x14ac:dyDescent="0.3">
      <c r="AX188" s="240" t="s">
        <v>2972</v>
      </c>
      <c r="AY188" s="212" t="s">
        <v>88</v>
      </c>
      <c r="AZ188" s="277">
        <f>VLOOKUP(AY188,'Tarieven VPT'!$B$6:I259,8,FALSE)</f>
        <v>325.66151404373363</v>
      </c>
      <c r="BA188" s="207"/>
      <c r="BQ188" s="135">
        <v>516</v>
      </c>
      <c r="BR188" s="135">
        <f t="shared" si="45"/>
        <v>1516</v>
      </c>
      <c r="BS188" s="135" t="s">
        <v>2697</v>
      </c>
    </row>
    <row r="189" spans="50:71" ht="18.75" hidden="1" x14ac:dyDescent="0.3">
      <c r="AX189" s="240" t="s">
        <v>2973</v>
      </c>
      <c r="AY189" s="212" t="s">
        <v>325</v>
      </c>
      <c r="AZ189" s="277">
        <f>VLOOKUP(AY189,'Tarieven VPT'!$B$6:I260,8,FALSE)</f>
        <v>358.84448837101064</v>
      </c>
      <c r="BA189" s="207"/>
      <c r="BQ189" s="135">
        <v>580</v>
      </c>
      <c r="BR189" s="135">
        <f t="shared" si="45"/>
        <v>1580</v>
      </c>
      <c r="BS189" s="135" t="s">
        <v>2697</v>
      </c>
    </row>
    <row r="190" spans="50:71" ht="18.75" hidden="1" x14ac:dyDescent="0.3">
      <c r="AX190" s="240" t="s">
        <v>2975</v>
      </c>
      <c r="AY190" s="212" t="s">
        <v>307</v>
      </c>
      <c r="AZ190" s="277">
        <f>VLOOKUP(AY190,'Tarieven VPT'!$B$6:I262,8,FALSE)</f>
        <v>127.50588740432228</v>
      </c>
      <c r="BA190" s="207"/>
      <c r="BQ190" s="135">
        <v>584</v>
      </c>
      <c r="BR190" s="135">
        <f t="shared" si="45"/>
        <v>1584</v>
      </c>
      <c r="BS190" s="135" t="s">
        <v>2697</v>
      </c>
    </row>
    <row r="191" spans="50:71" ht="18.75" hidden="1" x14ac:dyDescent="0.3">
      <c r="AX191" s="240" t="s">
        <v>2978</v>
      </c>
      <c r="AY191" s="212" t="s">
        <v>376</v>
      </c>
      <c r="AZ191" s="277">
        <f>VLOOKUP(AY191,'Tarieven VPT'!$B$6:I265,8,FALSE)</f>
        <v>186.02</v>
      </c>
      <c r="BA191" s="207"/>
      <c r="BQ191" s="135">
        <v>585</v>
      </c>
      <c r="BR191" s="135">
        <f t="shared" si="45"/>
        <v>1585</v>
      </c>
      <c r="BS191" s="135" t="s">
        <v>2697</v>
      </c>
    </row>
    <row r="192" spans="50:71" ht="18.75" hidden="1" x14ac:dyDescent="0.3">
      <c r="AX192" s="240" t="s">
        <v>2976</v>
      </c>
      <c r="AY192" s="212" t="s">
        <v>227</v>
      </c>
      <c r="AZ192" s="277">
        <f>VLOOKUP(AY192,'Tarieven VPT'!$B$6:I263,8,FALSE)</f>
        <v>280.23480789127456</v>
      </c>
      <c r="BA192" s="207"/>
      <c r="BQ192" s="135">
        <v>1001</v>
      </c>
      <c r="BR192" s="135">
        <f>BQ192+1000</f>
        <v>2001</v>
      </c>
      <c r="BS192" s="135" t="s">
        <v>1813</v>
      </c>
    </row>
    <row r="193" spans="50:71" ht="18.75" hidden="1" x14ac:dyDescent="0.3">
      <c r="AX193" s="240" t="s">
        <v>2977</v>
      </c>
      <c r="AY193" s="212" t="s">
        <v>103</v>
      </c>
      <c r="AZ193" s="277">
        <f>VLOOKUP(AY193,'Tarieven VPT'!$B$6:I264,8,FALSE)</f>
        <v>322.12713810594664</v>
      </c>
      <c r="BA193" s="207"/>
      <c r="BQ193" s="135">
        <v>1002</v>
      </c>
      <c r="BR193" s="135">
        <f t="shared" ref="BR193:BR208" si="46">BQ193+1000</f>
        <v>2002</v>
      </c>
      <c r="BS193" s="135" t="s">
        <v>1813</v>
      </c>
    </row>
    <row r="194" spans="50:71" ht="18.75" hidden="1" x14ac:dyDescent="0.3">
      <c r="AX194" s="240" t="s">
        <v>2979</v>
      </c>
      <c r="AY194" s="212" t="s">
        <v>57</v>
      </c>
      <c r="AZ194" s="277">
        <f>VLOOKUP(AY194,'Tarieven VPT'!$B$6:I266,8,FALSE)</f>
        <v>181.27969869813094</v>
      </c>
      <c r="BA194" s="207"/>
      <c r="BQ194" s="135">
        <v>1003</v>
      </c>
      <c r="BR194" s="135">
        <f t="shared" si="46"/>
        <v>2003</v>
      </c>
      <c r="BS194" s="135" t="s">
        <v>1813</v>
      </c>
    </row>
    <row r="195" spans="50:71" ht="18.75" hidden="1" x14ac:dyDescent="0.3">
      <c r="AX195" s="240" t="s">
        <v>2982</v>
      </c>
      <c r="AY195" s="212" t="s">
        <v>336</v>
      </c>
      <c r="AZ195" s="277">
        <f>VLOOKUP(AY195,'Tarieven VPT'!$B$6:I269,8,FALSE)</f>
        <v>249.1</v>
      </c>
      <c r="BA195" s="207"/>
      <c r="BQ195" s="135">
        <v>1004</v>
      </c>
      <c r="BR195" s="135">
        <f t="shared" si="46"/>
        <v>2004</v>
      </c>
      <c r="BS195" s="135" t="s">
        <v>1813</v>
      </c>
    </row>
    <row r="196" spans="50:71" ht="18.75" hidden="1" x14ac:dyDescent="0.3">
      <c r="AX196" s="240" t="s">
        <v>2980</v>
      </c>
      <c r="AY196" s="212" t="s">
        <v>186</v>
      </c>
      <c r="AZ196" s="277">
        <f>VLOOKUP(AY196,'Tarieven VPT'!$B$6:I267,8,FALSE)</f>
        <v>357.72230033712071</v>
      </c>
      <c r="BA196" s="207"/>
      <c r="BQ196" s="135">
        <v>1005</v>
      </c>
      <c r="BR196" s="135">
        <f t="shared" si="46"/>
        <v>2005</v>
      </c>
      <c r="BS196" s="135" t="s">
        <v>1813</v>
      </c>
    </row>
    <row r="197" spans="50:71" ht="18.75" hidden="1" x14ac:dyDescent="0.3">
      <c r="AX197" s="240" t="s">
        <v>2981</v>
      </c>
      <c r="AY197" s="212" t="s">
        <v>124</v>
      </c>
      <c r="AZ197" s="277">
        <f>VLOOKUP(AY197,'Tarieven VPT'!$B$6:I268,8,FALSE)</f>
        <v>422.18580807984307</v>
      </c>
      <c r="BA197" s="207"/>
      <c r="BQ197" s="135">
        <v>1006</v>
      </c>
      <c r="BR197" s="135">
        <f t="shared" si="46"/>
        <v>2006</v>
      </c>
      <c r="BS197" s="135" t="s">
        <v>1813</v>
      </c>
    </row>
    <row r="198" spans="50:71" ht="18.75" hidden="1" x14ac:dyDescent="0.3">
      <c r="AX198" s="240" t="s">
        <v>2799</v>
      </c>
      <c r="AY198" s="212" t="s">
        <v>113</v>
      </c>
      <c r="AZ198" s="277">
        <f>VLOOKUP(AY198,'Tarieven VPT'!$B$6:I270,8,FALSE)</f>
        <v>74.63</v>
      </c>
      <c r="BA198" s="207"/>
      <c r="BQ198" s="135">
        <v>1007</v>
      </c>
      <c r="BR198" s="135">
        <f t="shared" si="46"/>
        <v>2007</v>
      </c>
      <c r="BS198" s="135" t="s">
        <v>1813</v>
      </c>
    </row>
    <row r="199" spans="50:71" ht="18.75" hidden="1" x14ac:dyDescent="0.3">
      <c r="AX199" s="240" t="s">
        <v>2800</v>
      </c>
      <c r="AY199" s="212" t="s">
        <v>200</v>
      </c>
      <c r="AZ199" s="277">
        <f>VLOOKUP(AY199,'Tarieven VPT'!$B$6:I271,8,FALSE)</f>
        <v>110.64</v>
      </c>
      <c r="BA199" s="207"/>
      <c r="BQ199" s="135">
        <v>1008</v>
      </c>
      <c r="BR199" s="135">
        <f t="shared" si="46"/>
        <v>2008</v>
      </c>
      <c r="BS199" s="135" t="s">
        <v>1813</v>
      </c>
    </row>
    <row r="200" spans="50:71" ht="18.75" hidden="1" x14ac:dyDescent="0.3">
      <c r="AX200" s="240" t="s">
        <v>2983</v>
      </c>
      <c r="AY200" s="212" t="s">
        <v>344</v>
      </c>
      <c r="AZ200" s="277">
        <f>VLOOKUP(AY200,'Tarieven VPT'!$B$6:I272,8,FALSE)</f>
        <v>128.65</v>
      </c>
      <c r="BA200" s="207"/>
      <c r="BQ200" s="135">
        <v>1000</v>
      </c>
      <c r="BR200" s="135">
        <f t="shared" si="46"/>
        <v>2000</v>
      </c>
      <c r="BS200" s="135" t="s">
        <v>1813</v>
      </c>
    </row>
    <row r="201" spans="50:71" ht="18.75" hidden="1" x14ac:dyDescent="0.3">
      <c r="AX201" s="240" t="s">
        <v>2984</v>
      </c>
      <c r="AY201" s="212" t="s">
        <v>248</v>
      </c>
      <c r="AZ201" s="277">
        <f>VLOOKUP(AY201,'Tarieven VPT'!$B$6:I273,8,FALSE)</f>
        <v>157.12</v>
      </c>
      <c r="BA201" s="207"/>
      <c r="BQ201" s="135">
        <v>1013</v>
      </c>
      <c r="BR201" s="135">
        <f t="shared" si="46"/>
        <v>2013</v>
      </c>
      <c r="BS201" s="135" t="s">
        <v>1813</v>
      </c>
    </row>
    <row r="202" spans="50:71" ht="18.75" hidden="1" x14ac:dyDescent="0.3">
      <c r="AX202" s="240" t="s">
        <v>2801</v>
      </c>
      <c r="AY202" s="212" t="s">
        <v>224</v>
      </c>
      <c r="AZ202" s="277">
        <f>VLOOKUP(AY202,'Tarieven VPT'!$B$6:I274,8,FALSE)</f>
        <v>135.34</v>
      </c>
      <c r="BA202" s="207"/>
      <c r="BQ202" s="135">
        <v>1085</v>
      </c>
      <c r="BR202" s="135">
        <f t="shared" si="46"/>
        <v>2085</v>
      </c>
      <c r="BS202" s="135" t="s">
        <v>1813</v>
      </c>
    </row>
    <row r="203" spans="50:71" ht="18.75" hidden="1" x14ac:dyDescent="0.3">
      <c r="AX203" s="240" t="s">
        <v>2802</v>
      </c>
      <c r="AY203" s="212" t="s">
        <v>304</v>
      </c>
      <c r="AZ203" s="277">
        <f>VLOOKUP(AY203,'Tarieven VPT'!$B$6:I275,8,FALSE)</f>
        <v>171.65</v>
      </c>
      <c r="BA203" s="207"/>
      <c r="BQ203" s="135">
        <v>1084</v>
      </c>
      <c r="BR203" s="135">
        <f t="shared" si="46"/>
        <v>2084</v>
      </c>
      <c r="BS203" s="135" t="s">
        <v>1813</v>
      </c>
    </row>
    <row r="204" spans="50:71" ht="18.75" hidden="1" x14ac:dyDescent="0.3">
      <c r="AX204" s="240" t="s">
        <v>2803</v>
      </c>
      <c r="AY204" s="212" t="s">
        <v>285</v>
      </c>
      <c r="AZ204" s="277">
        <f>VLOOKUP(AY204,'Tarieven VPT'!$B$6:I276,8,FALSE)</f>
        <v>188.72</v>
      </c>
      <c r="BA204" s="207"/>
      <c r="BQ204" s="135">
        <v>1083</v>
      </c>
      <c r="BR204" s="135">
        <f t="shared" si="46"/>
        <v>2083</v>
      </c>
      <c r="BS204" s="135" t="s">
        <v>1813</v>
      </c>
    </row>
    <row r="205" spans="50:71" ht="18.75" hidden="1" x14ac:dyDescent="0.3">
      <c r="AX205" s="240" t="s">
        <v>2985</v>
      </c>
      <c r="AY205" s="212" t="s">
        <v>99</v>
      </c>
      <c r="AZ205" s="277">
        <f>VLOOKUP(AY205,'Tarieven VPT'!$B$6:I277,8,FALSE)</f>
        <v>181.81</v>
      </c>
      <c r="BA205" s="207"/>
      <c r="BQ205" s="135">
        <v>1080</v>
      </c>
      <c r="BR205" s="135">
        <f t="shared" si="46"/>
        <v>2080</v>
      </c>
      <c r="BS205" s="135" t="s">
        <v>1813</v>
      </c>
    </row>
    <row r="206" spans="50:71" ht="18.75" hidden="1" x14ac:dyDescent="0.3">
      <c r="AX206" s="240" t="s">
        <v>2986</v>
      </c>
      <c r="AY206" s="212" t="s">
        <v>203</v>
      </c>
      <c r="AZ206" s="277">
        <f>VLOOKUP(AY206,'Tarieven VPT'!$B$6:I278,8,FALSE)</f>
        <v>232.75</v>
      </c>
      <c r="BA206" s="207"/>
      <c r="BQ206" s="135">
        <v>1088</v>
      </c>
      <c r="BR206" s="135">
        <f t="shared" si="46"/>
        <v>2088</v>
      </c>
      <c r="BS206" s="135" t="s">
        <v>1813</v>
      </c>
    </row>
    <row r="207" spans="50:71" ht="18.75" hidden="1" x14ac:dyDescent="0.3">
      <c r="AX207" s="240" t="s">
        <v>2987</v>
      </c>
      <c r="AY207" s="212" t="s">
        <v>356</v>
      </c>
      <c r="AZ207" s="277">
        <f>VLOOKUP(AY207,'Tarieven VPT'!$B$6:I279,8,FALSE)</f>
        <v>251.72</v>
      </c>
      <c r="BA207" s="207"/>
      <c r="BQ207" s="135">
        <v>1101</v>
      </c>
      <c r="BR207" s="135">
        <f t="shared" si="46"/>
        <v>2101</v>
      </c>
      <c r="BS207" s="135" t="s">
        <v>1813</v>
      </c>
    </row>
    <row r="208" spans="50:71" ht="18.75" hidden="1" x14ac:dyDescent="0.3">
      <c r="AX208" s="240" t="s">
        <v>2988</v>
      </c>
      <c r="AY208" s="212" t="s">
        <v>286</v>
      </c>
      <c r="AZ208" s="277">
        <f>VLOOKUP(AY208,'Tarieven VPT'!$B$6:I280,8,FALSE)</f>
        <v>149.32</v>
      </c>
      <c r="BA208" s="207"/>
      <c r="BQ208" s="135">
        <v>1102</v>
      </c>
      <c r="BR208" s="135">
        <f t="shared" si="46"/>
        <v>2102</v>
      </c>
      <c r="BS208" s="135" t="s">
        <v>1813</v>
      </c>
    </row>
    <row r="209" spans="50:71" ht="18.75" hidden="1" x14ac:dyDescent="0.3">
      <c r="AX209" s="240" t="s">
        <v>2989</v>
      </c>
      <c r="AY209" s="212" t="s">
        <v>58</v>
      </c>
      <c r="AZ209" s="277">
        <f>VLOOKUP(AY209,'Tarieven VPT'!$B$6:I281,8,FALSE)</f>
        <v>189.53</v>
      </c>
      <c r="BA209" s="207"/>
    </row>
    <row r="210" spans="50:71" ht="18.75" hidden="1" x14ac:dyDescent="0.3">
      <c r="AX210" s="240" t="s">
        <v>2990</v>
      </c>
      <c r="AY210" s="212" t="s">
        <v>258</v>
      </c>
      <c r="AZ210" s="277">
        <f>VLOOKUP(AY210,'Tarieven VPT'!$B$6:I282,8,FALSE)</f>
        <v>210.91</v>
      </c>
      <c r="BA210" s="207"/>
      <c r="BQ210" s="135">
        <v>1103</v>
      </c>
      <c r="BR210" s="135">
        <f>BQ210+1000</f>
        <v>2103</v>
      </c>
      <c r="BS210" s="135" t="s">
        <v>1813</v>
      </c>
    </row>
    <row r="211" spans="50:71" ht="18.75" hidden="1" x14ac:dyDescent="0.3">
      <c r="AX211" s="240" t="s">
        <v>2991</v>
      </c>
      <c r="AY211" s="212" t="s">
        <v>292</v>
      </c>
      <c r="AZ211" s="277">
        <f>VLOOKUP(AY211,'Tarieven VPT'!$B$6:I283,8,FALSE)</f>
        <v>195.81</v>
      </c>
      <c r="BA211" s="207"/>
      <c r="BQ211" s="135">
        <v>1104</v>
      </c>
      <c r="BR211" s="135">
        <f t="shared" ref="BR211:BR274" si="47">BQ211+1000</f>
        <v>2104</v>
      </c>
      <c r="BS211" s="135" t="s">
        <v>1813</v>
      </c>
    </row>
    <row r="212" spans="50:71" ht="18.75" hidden="1" x14ac:dyDescent="0.3">
      <c r="AX212" s="240" t="s">
        <v>2992</v>
      </c>
      <c r="AY212" s="212" t="s">
        <v>138</v>
      </c>
      <c r="AZ212" s="277">
        <f>VLOOKUP(AY212,'Tarieven VPT'!$B$6:I284,8,FALSE)</f>
        <v>250.64</v>
      </c>
      <c r="BA212" s="207"/>
      <c r="BQ212" s="135">
        <v>1105</v>
      </c>
      <c r="BR212" s="135">
        <f t="shared" si="47"/>
        <v>2105</v>
      </c>
      <c r="BS212" s="135" t="s">
        <v>1813</v>
      </c>
    </row>
    <row r="213" spans="50:71" ht="18.75" hidden="1" x14ac:dyDescent="0.3">
      <c r="AX213" s="240" t="s">
        <v>2993</v>
      </c>
      <c r="AY213" s="212" t="s">
        <v>179</v>
      </c>
      <c r="AZ213" s="277">
        <f>VLOOKUP(AY213,'Tarieven VPT'!$B$6:I285,8,FALSE)</f>
        <v>273.91000000000003</v>
      </c>
      <c r="BA213" s="207"/>
      <c r="BQ213" s="135">
        <v>1106</v>
      </c>
      <c r="BR213" s="135">
        <f t="shared" si="47"/>
        <v>2106</v>
      </c>
      <c r="BS213" s="135" t="s">
        <v>1813</v>
      </c>
    </row>
    <row r="214" spans="50:71" ht="18.75" hidden="1" x14ac:dyDescent="0.3">
      <c r="AX214" s="240" t="s">
        <v>3147</v>
      </c>
      <c r="AY214" s="212" t="s">
        <v>9</v>
      </c>
      <c r="AZ214" s="277">
        <f>VLOOKUP(AY214,'Tarieven VPT'!$B$6:I286,8,FALSE)</f>
        <v>32.05393416171809</v>
      </c>
      <c r="BA214" s="207"/>
      <c r="BQ214" s="135">
        <v>1107</v>
      </c>
      <c r="BR214" s="135">
        <f t="shared" si="47"/>
        <v>2107</v>
      </c>
      <c r="BS214" s="135" t="s">
        <v>1813</v>
      </c>
    </row>
    <row r="215" spans="50:71" ht="18.75" hidden="1" x14ac:dyDescent="0.3">
      <c r="AX215" s="240" t="s">
        <v>2996</v>
      </c>
      <c r="AY215" s="212" t="s">
        <v>3072</v>
      </c>
      <c r="AZ215" s="277">
        <f>VLOOKUP(AY215,'Tarieven VPT'!$B$6:I287,8,FALSE)</f>
        <v>48.467124736056157</v>
      </c>
      <c r="BA215" s="207"/>
      <c r="BQ215" s="135">
        <v>1108</v>
      </c>
      <c r="BR215" s="135">
        <f t="shared" si="47"/>
        <v>2108</v>
      </c>
      <c r="BS215" s="135" t="s">
        <v>1813</v>
      </c>
    </row>
    <row r="216" spans="50:71" ht="18.75" hidden="1" x14ac:dyDescent="0.3">
      <c r="AX216" s="240" t="s">
        <v>2997</v>
      </c>
      <c r="AY216" s="212" t="s">
        <v>3074</v>
      </c>
      <c r="AZ216" s="277">
        <f>VLOOKUP(AY216,'Tarieven VPT'!$B$6:I288,8,FALSE)</f>
        <v>48.437124736056155</v>
      </c>
      <c r="BA216" s="207"/>
      <c r="BQ216" s="135">
        <v>1109</v>
      </c>
      <c r="BR216" s="135">
        <f t="shared" si="47"/>
        <v>2109</v>
      </c>
      <c r="BS216" s="135" t="s">
        <v>1813</v>
      </c>
    </row>
    <row r="217" spans="50:71" ht="18.75" hidden="1" x14ac:dyDescent="0.3">
      <c r="AX217" s="240" t="s">
        <v>2998</v>
      </c>
      <c r="AY217" s="212" t="s">
        <v>3579</v>
      </c>
      <c r="AZ217" s="277">
        <f>VLOOKUP(AY217,'Tarieven VPT'!$B$6:I289,8,FALSE)</f>
        <v>86.822697241661842</v>
      </c>
      <c r="BA217" s="207"/>
      <c r="BQ217" s="135">
        <v>1600</v>
      </c>
      <c r="BR217" s="135">
        <f t="shared" si="47"/>
        <v>2600</v>
      </c>
      <c r="BS217" s="135" t="s">
        <v>1813</v>
      </c>
    </row>
    <row r="218" spans="50:71" ht="18.75" hidden="1" x14ac:dyDescent="0.3">
      <c r="AX218" s="240" t="s">
        <v>2999</v>
      </c>
      <c r="AY218" s="212" t="s">
        <v>11</v>
      </c>
      <c r="AZ218" s="277">
        <f>VLOOKUP(AY218,'Tarieven VPT'!$B$6:I290,8,FALSE)</f>
        <v>85.502697241661849</v>
      </c>
      <c r="BA218" s="207"/>
      <c r="BQ218" s="135">
        <v>1601</v>
      </c>
      <c r="BR218" s="135">
        <f t="shared" si="47"/>
        <v>2601</v>
      </c>
      <c r="BS218" s="135" t="s">
        <v>1813</v>
      </c>
    </row>
    <row r="219" spans="50:71" ht="18.75" hidden="1" x14ac:dyDescent="0.3">
      <c r="AX219" s="240" t="s">
        <v>3000</v>
      </c>
      <c r="AY219" s="212" t="s">
        <v>447</v>
      </c>
      <c r="AZ219" s="277">
        <f>VLOOKUP(AY219,'Tarieven VPT'!$B$6:I291,8,FALSE)</f>
        <v>48.001535323392936</v>
      </c>
      <c r="BA219" s="207"/>
      <c r="BQ219" s="135">
        <v>1602</v>
      </c>
      <c r="BR219" s="135">
        <f t="shared" si="47"/>
        <v>2602</v>
      </c>
      <c r="BS219" s="135" t="s">
        <v>1813</v>
      </c>
    </row>
    <row r="220" spans="50:71" ht="18.75" hidden="1" x14ac:dyDescent="0.3">
      <c r="AX220" s="240" t="s">
        <v>3001</v>
      </c>
      <c r="AY220" s="212" t="s">
        <v>3079</v>
      </c>
      <c r="AZ220" s="277">
        <f>VLOOKUP(AY220,'Tarieven VPT'!$B$6:I292,8,FALSE)</f>
        <v>54.416643056089605</v>
      </c>
      <c r="BA220" s="207"/>
      <c r="BQ220" s="135">
        <v>1603</v>
      </c>
      <c r="BR220" s="135">
        <f t="shared" si="47"/>
        <v>2603</v>
      </c>
      <c r="BS220" s="135" t="s">
        <v>1813</v>
      </c>
    </row>
    <row r="221" spans="50:71" ht="18.75" hidden="1" x14ac:dyDescent="0.3">
      <c r="AX221" s="240" t="s">
        <v>3002</v>
      </c>
      <c r="AY221" s="212" t="s">
        <v>3081</v>
      </c>
      <c r="AZ221" s="277">
        <f>VLOOKUP(AY221,'Tarieven VPT'!$B$6:I293,8,FALSE)</f>
        <v>57.136643056089603</v>
      </c>
      <c r="BA221" s="207"/>
      <c r="BQ221" s="135">
        <v>1604</v>
      </c>
      <c r="BR221" s="135">
        <f t="shared" si="47"/>
        <v>2604</v>
      </c>
      <c r="BS221" s="135" t="s">
        <v>1813</v>
      </c>
    </row>
    <row r="222" spans="50:71" ht="18.75" hidden="1" x14ac:dyDescent="0.3">
      <c r="AX222" s="240" t="s">
        <v>3003</v>
      </c>
      <c r="AY222" s="212" t="s">
        <v>3083</v>
      </c>
      <c r="AZ222" s="277">
        <f>VLOOKUP(AY222,'Tarieven VPT'!$B$6:I294,8,FALSE)</f>
        <v>60.392359434763279</v>
      </c>
      <c r="BA222" s="207"/>
      <c r="BQ222" s="135">
        <v>1605</v>
      </c>
      <c r="BR222" s="135">
        <f t="shared" si="47"/>
        <v>2605</v>
      </c>
      <c r="BS222" s="135" t="s">
        <v>1813</v>
      </c>
    </row>
    <row r="223" spans="50:71" ht="18.75" hidden="1" x14ac:dyDescent="0.3">
      <c r="AX223" s="240" t="s">
        <v>3004</v>
      </c>
      <c r="AY223" s="212" t="s">
        <v>3085</v>
      </c>
      <c r="AZ223" s="277">
        <f>VLOOKUP(AY223,'Tarieven VPT'!$B$6:I295,8,FALSE)</f>
        <v>61.202359434763281</v>
      </c>
      <c r="BA223" s="207"/>
      <c r="BQ223" s="135">
        <v>1606</v>
      </c>
      <c r="BR223" s="135">
        <f t="shared" si="47"/>
        <v>2606</v>
      </c>
      <c r="BS223" s="135" t="s">
        <v>1813</v>
      </c>
    </row>
    <row r="224" spans="50:71" ht="18.75" hidden="1" x14ac:dyDescent="0.3">
      <c r="AX224" s="240" t="s">
        <v>3005</v>
      </c>
      <c r="AY224" s="212" t="s">
        <v>467</v>
      </c>
      <c r="AZ224" s="277">
        <f>VLOOKUP(AY224,'Tarieven VPT'!$B$6:I296,8,FALSE)</f>
        <v>47.420823833806693</v>
      </c>
      <c r="BA224" s="207"/>
      <c r="BQ224" s="135">
        <v>1607</v>
      </c>
      <c r="BR224" s="135">
        <f t="shared" si="47"/>
        <v>2607</v>
      </c>
      <c r="BS224" s="135" t="s">
        <v>1813</v>
      </c>
    </row>
    <row r="225" spans="50:71" ht="18.75" hidden="1" x14ac:dyDescent="0.3">
      <c r="AX225" s="240" t="s">
        <v>3006</v>
      </c>
      <c r="AY225" s="212" t="s">
        <v>461</v>
      </c>
      <c r="AZ225" s="277">
        <f>VLOOKUP(AY225,'Tarieven VPT'!$B$6:I297,8,FALSE)</f>
        <v>58.420559283173517</v>
      </c>
      <c r="BA225" s="207"/>
      <c r="BQ225" s="135">
        <v>1608</v>
      </c>
      <c r="BR225" s="135">
        <f t="shared" si="47"/>
        <v>2608</v>
      </c>
      <c r="BS225" s="135" t="s">
        <v>1813</v>
      </c>
    </row>
    <row r="226" spans="50:71" ht="18.75" hidden="1" x14ac:dyDescent="0.3">
      <c r="AX226" s="240" t="s">
        <v>3007</v>
      </c>
      <c r="AY226" s="212" t="s">
        <v>459</v>
      </c>
      <c r="AZ226" s="277">
        <f>VLOOKUP(AY226,'Tarieven VPT'!$B$6:I298,8,FALSE)</f>
        <v>71.693667658027437</v>
      </c>
      <c r="BA226" s="207"/>
      <c r="BQ226" s="135">
        <v>1609</v>
      </c>
      <c r="BR226" s="135">
        <f t="shared" si="47"/>
        <v>2609</v>
      </c>
      <c r="BS226" s="135" t="s">
        <v>1813</v>
      </c>
    </row>
    <row r="227" spans="50:71" ht="18.75" hidden="1" x14ac:dyDescent="0.3">
      <c r="AX227" s="240" t="s">
        <v>3008</v>
      </c>
      <c r="AY227" s="212" t="s">
        <v>476</v>
      </c>
      <c r="AZ227" s="277">
        <f>VLOOKUP(AY227,'Tarieven VPT'!$B$6:I299,8,FALSE)</f>
        <v>35.799999999999997</v>
      </c>
      <c r="BA227" s="207"/>
      <c r="BQ227" s="135">
        <v>1610</v>
      </c>
      <c r="BR227" s="135">
        <f t="shared" si="47"/>
        <v>2610</v>
      </c>
      <c r="BS227" s="135" t="s">
        <v>1813</v>
      </c>
    </row>
    <row r="228" spans="50:71" ht="18.75" hidden="1" x14ac:dyDescent="0.3">
      <c r="AX228" s="240" t="s">
        <v>3009</v>
      </c>
      <c r="AY228" s="212" t="s">
        <v>469</v>
      </c>
      <c r="AZ228" s="277">
        <f>VLOOKUP(AY228,'Tarieven VPT'!$B$6:I300,8,FALSE)</f>
        <v>41.61</v>
      </c>
      <c r="BA228" s="207"/>
      <c r="BQ228" s="135">
        <v>1611</v>
      </c>
      <c r="BR228" s="135">
        <f t="shared" si="47"/>
        <v>2611</v>
      </c>
      <c r="BS228" s="135" t="s">
        <v>1813</v>
      </c>
    </row>
    <row r="229" spans="50:71" ht="18.75" hidden="1" x14ac:dyDescent="0.3">
      <c r="AX229" s="240" t="s">
        <v>3010</v>
      </c>
      <c r="AY229" s="212" t="s">
        <v>3092</v>
      </c>
      <c r="AZ229" s="277">
        <f>VLOOKUP(AY229,'Tarieven VPT'!$B$6:I301,8,FALSE)</f>
        <v>47.07</v>
      </c>
      <c r="BA229" s="207"/>
      <c r="BQ229" s="135">
        <v>1612</v>
      </c>
      <c r="BR229" s="135">
        <f t="shared" si="47"/>
        <v>2612</v>
      </c>
      <c r="BS229" s="135" t="s">
        <v>1813</v>
      </c>
    </row>
    <row r="230" spans="50:71" ht="18.75" hidden="1" x14ac:dyDescent="0.3">
      <c r="AX230" s="240" t="s">
        <v>3011</v>
      </c>
      <c r="AY230" s="212" t="s">
        <v>3094</v>
      </c>
      <c r="AZ230" s="277">
        <f>VLOOKUP(AY230,'Tarieven VPT'!$B$6:I302,8,FALSE)</f>
        <v>48.56</v>
      </c>
      <c r="BA230" s="207"/>
      <c r="BQ230" s="135">
        <v>1613</v>
      </c>
      <c r="BR230" s="135">
        <f t="shared" si="47"/>
        <v>2613</v>
      </c>
      <c r="BS230" s="135" t="s">
        <v>1813</v>
      </c>
    </row>
    <row r="231" spans="50:71" ht="18.75" hidden="1" x14ac:dyDescent="0.3">
      <c r="AX231" s="240" t="s">
        <v>2804</v>
      </c>
      <c r="AY231" s="212" t="s">
        <v>254</v>
      </c>
      <c r="AZ231" s="277">
        <f>VLOOKUP(AY231,'Tarieven ZZP'!B6:J238,9,FALSE)</f>
        <v>99.87</v>
      </c>
      <c r="BA231" s="207"/>
      <c r="BQ231" s="135">
        <v>1614</v>
      </c>
      <c r="BR231" s="135">
        <f t="shared" si="47"/>
        <v>2614</v>
      </c>
      <c r="BS231" s="135" t="s">
        <v>1813</v>
      </c>
    </row>
    <row r="232" spans="50:71" ht="18.75" hidden="1" x14ac:dyDescent="0.3">
      <c r="AX232" s="240" t="s">
        <v>2805</v>
      </c>
      <c r="AY232" s="212" t="s">
        <v>298</v>
      </c>
      <c r="AZ232" s="277">
        <f>VLOOKUP(AY232,'Tarieven ZZP'!B7:J239,9,FALSE)</f>
        <v>128.08000000000001</v>
      </c>
      <c r="BA232" s="207"/>
      <c r="BQ232" s="135">
        <v>1615</v>
      </c>
      <c r="BR232" s="135">
        <f t="shared" si="47"/>
        <v>2615</v>
      </c>
      <c r="BS232" s="135" t="s">
        <v>1813</v>
      </c>
    </row>
    <row r="233" spans="50:71" ht="18.75" hidden="1" x14ac:dyDescent="0.3">
      <c r="AX233" s="240" t="s">
        <v>2806</v>
      </c>
      <c r="AY233" s="212" t="s">
        <v>324</v>
      </c>
      <c r="AZ233" s="277">
        <f>VLOOKUP(AY233,'Tarieven ZZP'!B8:J240,9,FALSE)</f>
        <v>159.63</v>
      </c>
      <c r="BA233" s="207"/>
      <c r="BQ233" s="135">
        <v>1616</v>
      </c>
      <c r="BR233" s="135">
        <f t="shared" si="47"/>
        <v>2616</v>
      </c>
      <c r="BS233" s="135" t="s">
        <v>1813</v>
      </c>
    </row>
    <row r="234" spans="50:71" ht="18.75" hidden="1" x14ac:dyDescent="0.3">
      <c r="AX234" s="240" t="s">
        <v>2807</v>
      </c>
      <c r="AY234" s="212" t="s">
        <v>128</v>
      </c>
      <c r="AZ234" s="277">
        <f>VLOOKUP(AY234,'Tarieven ZZP'!B9:J241,9,FALSE)</f>
        <v>166.47</v>
      </c>
      <c r="BA234" s="207"/>
      <c r="BQ234" s="135">
        <v>1617</v>
      </c>
      <c r="BR234" s="135">
        <f t="shared" si="47"/>
        <v>2617</v>
      </c>
      <c r="BS234" s="135" t="s">
        <v>1813</v>
      </c>
    </row>
    <row r="235" spans="50:71" ht="18.75" hidden="1" x14ac:dyDescent="0.3">
      <c r="AX235" s="240" t="s">
        <v>2808</v>
      </c>
      <c r="AY235" s="212" t="s">
        <v>95</v>
      </c>
      <c r="AZ235" s="277">
        <f>VLOOKUP(AY235,'Tarieven ZZP'!B10:J242,9,FALSE)</f>
        <v>216.46</v>
      </c>
      <c r="BA235" s="207"/>
      <c r="BQ235" s="135">
        <v>1618</v>
      </c>
      <c r="BR235" s="135">
        <f t="shared" si="47"/>
        <v>2618</v>
      </c>
      <c r="BS235" s="135" t="s">
        <v>1813</v>
      </c>
    </row>
    <row r="236" spans="50:71" ht="18.75" hidden="1" x14ac:dyDescent="0.3">
      <c r="AX236" s="240" t="s">
        <v>2809</v>
      </c>
      <c r="AY236" s="212" t="s">
        <v>327</v>
      </c>
      <c r="AZ236" s="277">
        <f>VLOOKUP(AY236,'Tarieven ZZP'!B11:J243,9,FALSE)</f>
        <v>216.72</v>
      </c>
      <c r="BA236" s="207"/>
      <c r="BQ236" s="135">
        <v>1619</v>
      </c>
      <c r="BR236" s="135">
        <f t="shared" si="47"/>
        <v>2619</v>
      </c>
      <c r="BS236" s="135" t="s">
        <v>1813</v>
      </c>
    </row>
    <row r="237" spans="50:71" ht="18.75" hidden="1" x14ac:dyDescent="0.3">
      <c r="AX237" s="240" t="s">
        <v>2810</v>
      </c>
      <c r="AY237" s="212" t="s">
        <v>247</v>
      </c>
      <c r="AZ237" s="277">
        <f>VLOOKUP(AY237,'Tarieven ZZP'!B12:J244,9,FALSE)</f>
        <v>249.87</v>
      </c>
      <c r="BA237" s="207"/>
      <c r="BQ237" s="135">
        <v>1620</v>
      </c>
      <c r="BR237" s="135">
        <f t="shared" si="47"/>
        <v>2620</v>
      </c>
      <c r="BS237" s="135" t="s">
        <v>1813</v>
      </c>
    </row>
    <row r="238" spans="50:71" ht="18.75" hidden="1" x14ac:dyDescent="0.3">
      <c r="AX238" s="240" t="s">
        <v>2811</v>
      </c>
      <c r="AY238" s="212" t="s">
        <v>98</v>
      </c>
      <c r="AZ238" s="277">
        <f>VLOOKUP(AY238,'Tarieven ZZP'!B13:J245,9,FALSE)</f>
        <v>287.44</v>
      </c>
      <c r="BA238" s="207"/>
      <c r="BQ238" s="135">
        <v>1621</v>
      </c>
      <c r="BR238" s="135">
        <f t="shared" si="47"/>
        <v>2621</v>
      </c>
      <c r="BS238" s="135" t="s">
        <v>1813</v>
      </c>
    </row>
    <row r="239" spans="50:71" ht="18.75" hidden="1" x14ac:dyDescent="0.3">
      <c r="AX239" s="240" t="s">
        <v>2812</v>
      </c>
      <c r="AY239" s="212" t="s">
        <v>572</v>
      </c>
      <c r="AZ239" s="277">
        <f>VLOOKUP(AY239,'Tarieven ZZP'!B14:J246,9,FALSE)</f>
        <v>211.55</v>
      </c>
      <c r="BA239" s="207"/>
      <c r="BQ239" s="135">
        <v>1622</v>
      </c>
      <c r="BR239" s="135">
        <f t="shared" si="47"/>
        <v>2622</v>
      </c>
      <c r="BS239" s="135" t="s">
        <v>1813</v>
      </c>
    </row>
    <row r="240" spans="50:71" ht="18.75" hidden="1" x14ac:dyDescent="0.3">
      <c r="AX240" s="240" t="s">
        <v>2813</v>
      </c>
      <c r="AY240" s="212" t="s">
        <v>384</v>
      </c>
      <c r="AZ240" s="277">
        <f>VLOOKUP(AY240,'Tarieven ZZP'!B15:J247,9,FALSE)</f>
        <v>310.69</v>
      </c>
      <c r="BA240" s="207"/>
      <c r="BQ240" s="135">
        <v>1623</v>
      </c>
      <c r="BR240" s="135">
        <f t="shared" si="47"/>
        <v>2623</v>
      </c>
      <c r="BS240" s="135" t="s">
        <v>1813</v>
      </c>
    </row>
    <row r="241" spans="50:71" ht="18.75" hidden="1" x14ac:dyDescent="0.3">
      <c r="AX241" s="240" t="s">
        <v>2814</v>
      </c>
      <c r="AY241" s="212" t="s">
        <v>62</v>
      </c>
      <c r="AZ241" s="277">
        <f>VLOOKUP(AY241,'Tarieven ZZP'!B16:J248,9,FALSE)</f>
        <v>183.28</v>
      </c>
      <c r="BA241" s="207"/>
      <c r="BQ241" s="135">
        <v>1624</v>
      </c>
      <c r="BR241" s="135">
        <f t="shared" si="47"/>
        <v>2624</v>
      </c>
      <c r="BS241" s="135" t="s">
        <v>1813</v>
      </c>
    </row>
    <row r="242" spans="50:71" ht="18.75" hidden="1" x14ac:dyDescent="0.3">
      <c r="AX242" s="240" t="s">
        <v>2815</v>
      </c>
      <c r="AY242" s="212" t="s">
        <v>342</v>
      </c>
      <c r="AZ242" s="277">
        <f>VLOOKUP(AY242,'Tarieven ZZP'!B17:J249,9,FALSE)</f>
        <v>197.33</v>
      </c>
      <c r="BA242" s="207"/>
      <c r="BQ242" s="135">
        <v>1625</v>
      </c>
      <c r="BR242" s="135">
        <f t="shared" si="47"/>
        <v>2625</v>
      </c>
      <c r="BS242" s="135" t="s">
        <v>1813</v>
      </c>
    </row>
    <row r="243" spans="50:71" ht="18.75" hidden="1" x14ac:dyDescent="0.3">
      <c r="AX243" s="240" t="s">
        <v>2816</v>
      </c>
      <c r="AY243" s="212" t="s">
        <v>270</v>
      </c>
      <c r="AZ243" s="277">
        <f>VLOOKUP(AY243,'Tarieven ZZP'!B18:J250,9,FALSE)</f>
        <v>250.05</v>
      </c>
      <c r="BA243" s="207"/>
      <c r="BQ243" s="135">
        <v>1626</v>
      </c>
      <c r="BR243" s="135">
        <f t="shared" si="47"/>
        <v>2626</v>
      </c>
      <c r="BS243" s="135" t="s">
        <v>1813</v>
      </c>
    </row>
    <row r="244" spans="50:71" ht="18.75" hidden="1" x14ac:dyDescent="0.3">
      <c r="AX244" s="240" t="s">
        <v>2817</v>
      </c>
      <c r="AY244" s="212" t="s">
        <v>284</v>
      </c>
      <c r="AZ244" s="277">
        <f>VLOOKUP(AY244,'Tarieven ZZP'!B19:J251,9,FALSE)</f>
        <v>251.14</v>
      </c>
      <c r="BA244" s="207"/>
      <c r="BQ244" s="135">
        <v>1627</v>
      </c>
      <c r="BR244" s="135">
        <f t="shared" si="47"/>
        <v>2627</v>
      </c>
      <c r="BS244" s="135" t="s">
        <v>1813</v>
      </c>
    </row>
    <row r="245" spans="50:71" ht="18.75" hidden="1" x14ac:dyDescent="0.3">
      <c r="AX245" s="240" t="s">
        <v>2818</v>
      </c>
      <c r="AY245" s="212" t="s">
        <v>164</v>
      </c>
      <c r="AZ245" s="277">
        <f>VLOOKUP(AY245,'Tarieven ZZP'!B20:J252,9,FALSE)</f>
        <v>293.16000000000003</v>
      </c>
      <c r="BA245" s="207"/>
      <c r="BQ245" s="135">
        <v>1628</v>
      </c>
      <c r="BR245" s="135">
        <f t="shared" si="47"/>
        <v>2628</v>
      </c>
      <c r="BS245" s="135" t="s">
        <v>1813</v>
      </c>
    </row>
    <row r="246" spans="50:71" ht="18.75" hidden="1" x14ac:dyDescent="0.3">
      <c r="AX246" s="240" t="s">
        <v>2819</v>
      </c>
      <c r="AY246" s="212" t="s">
        <v>371</v>
      </c>
      <c r="AZ246" s="277">
        <f>VLOOKUP(AY246,'Tarieven ZZP'!B21:J253,9,FALSE)</f>
        <v>331.34</v>
      </c>
      <c r="BA246" s="207"/>
      <c r="BQ246" s="135">
        <v>1629</v>
      </c>
      <c r="BR246" s="135">
        <f t="shared" si="47"/>
        <v>2629</v>
      </c>
      <c r="BS246" s="135" t="s">
        <v>1813</v>
      </c>
    </row>
    <row r="247" spans="50:71" ht="18.75" hidden="1" x14ac:dyDescent="0.3">
      <c r="AX247" s="240" t="s">
        <v>2820</v>
      </c>
      <c r="AY247" s="212" t="s">
        <v>570</v>
      </c>
      <c r="AZ247" s="277">
        <f>VLOOKUP(AY247,'Tarieven ZZP'!B22:J254,9,FALSE)</f>
        <v>300.63</v>
      </c>
      <c r="BA247" s="207"/>
      <c r="BQ247" s="135">
        <v>1630</v>
      </c>
      <c r="BR247" s="135">
        <f t="shared" si="47"/>
        <v>2630</v>
      </c>
      <c r="BS247" s="135" t="s">
        <v>1813</v>
      </c>
    </row>
    <row r="248" spans="50:71" ht="18.75" hidden="1" x14ac:dyDescent="0.3">
      <c r="AX248" s="240" t="s">
        <v>2821</v>
      </c>
      <c r="AY248" s="212" t="s">
        <v>130</v>
      </c>
      <c r="AZ248" s="277">
        <f>VLOOKUP(AY248,'Tarieven ZZP'!B23:J255,9,FALSE)</f>
        <v>354.15</v>
      </c>
      <c r="BA248" s="207"/>
      <c r="BQ248" s="135">
        <v>1631</v>
      </c>
      <c r="BR248" s="135">
        <f t="shared" si="47"/>
        <v>2631</v>
      </c>
      <c r="BS248" s="135" t="s">
        <v>1813</v>
      </c>
    </row>
    <row r="249" spans="50:71" ht="18.75" hidden="1" x14ac:dyDescent="0.3">
      <c r="AX249" s="240" t="s">
        <v>2822</v>
      </c>
      <c r="AY249" s="212" t="s">
        <v>375</v>
      </c>
      <c r="AZ249" s="277">
        <f>VLOOKUP(AY249,'Tarieven ZZP'!B24:J256,9,FALSE)</f>
        <v>97.62</v>
      </c>
      <c r="BA249" s="207"/>
      <c r="BQ249" s="135">
        <v>1632</v>
      </c>
      <c r="BR249" s="135">
        <f t="shared" si="47"/>
        <v>2632</v>
      </c>
      <c r="BS249" s="135" t="s">
        <v>1813</v>
      </c>
    </row>
    <row r="250" spans="50:71" ht="18.75" hidden="1" x14ac:dyDescent="0.3">
      <c r="AX250" s="240" t="s">
        <v>2823</v>
      </c>
      <c r="AY250" s="212" t="s">
        <v>315</v>
      </c>
      <c r="AZ250" s="277">
        <f>VLOOKUP(AY250,'Tarieven ZZP'!B25:J257,9,FALSE)</f>
        <v>159.52000000000001</v>
      </c>
      <c r="BA250" s="207"/>
      <c r="BQ250" s="135">
        <v>1633</v>
      </c>
      <c r="BR250" s="135">
        <f t="shared" si="47"/>
        <v>2633</v>
      </c>
      <c r="BS250" s="135" t="s">
        <v>1813</v>
      </c>
    </row>
    <row r="251" spans="50:71" ht="18.75" hidden="1" x14ac:dyDescent="0.3">
      <c r="AX251" s="240" t="s">
        <v>2824</v>
      </c>
      <c r="AY251" s="212" t="s">
        <v>213</v>
      </c>
      <c r="AZ251" s="277">
        <f>VLOOKUP(AY251,'Tarieven ZZP'!B26:J258,9,FALSE)</f>
        <v>169.55</v>
      </c>
      <c r="BA251" s="207"/>
      <c r="BQ251" s="135">
        <v>1634</v>
      </c>
      <c r="BR251" s="135">
        <f t="shared" si="47"/>
        <v>2634</v>
      </c>
      <c r="BS251" s="135" t="s">
        <v>1813</v>
      </c>
    </row>
    <row r="252" spans="50:71" ht="18.75" hidden="1" x14ac:dyDescent="0.3">
      <c r="AX252" s="240" t="s">
        <v>2825</v>
      </c>
      <c r="AY252" s="212" t="s">
        <v>335</v>
      </c>
      <c r="AZ252" s="277">
        <f>VLOOKUP(AY252,'Tarieven ZZP'!B27:J259,9,FALSE)</f>
        <v>175.06</v>
      </c>
      <c r="BA252" s="207"/>
      <c r="BQ252" s="135">
        <v>1635</v>
      </c>
      <c r="BR252" s="135">
        <f t="shared" si="47"/>
        <v>2635</v>
      </c>
      <c r="BS252" s="135" t="s">
        <v>1813</v>
      </c>
    </row>
    <row r="253" spans="50:71" ht="18.75" hidden="1" x14ac:dyDescent="0.3">
      <c r="AX253" s="240" t="s">
        <v>2826</v>
      </c>
      <c r="AY253" s="212" t="s">
        <v>194</v>
      </c>
      <c r="AZ253" s="277">
        <f>VLOOKUP(AY253,'Tarieven ZZP'!B28:J260,9,FALSE)</f>
        <v>192.39</v>
      </c>
      <c r="BA253" s="207"/>
      <c r="BQ253" s="135">
        <v>1636</v>
      </c>
      <c r="BR253" s="135">
        <f t="shared" si="47"/>
        <v>2636</v>
      </c>
      <c r="BS253" s="135" t="s">
        <v>1813</v>
      </c>
    </row>
    <row r="254" spans="50:71" ht="18.75" hidden="1" x14ac:dyDescent="0.3">
      <c r="AX254" s="240" t="s">
        <v>2827</v>
      </c>
      <c r="AY254" s="212" t="s">
        <v>154</v>
      </c>
      <c r="AZ254" s="277">
        <f>VLOOKUP(AY254,'Tarieven ZZP'!B29:J261,9,FALSE)</f>
        <v>333.35</v>
      </c>
      <c r="BA254" s="207"/>
      <c r="BQ254" s="135">
        <v>1637</v>
      </c>
      <c r="BR254" s="135">
        <f t="shared" si="47"/>
        <v>2637</v>
      </c>
      <c r="BS254" s="135" t="s">
        <v>1813</v>
      </c>
    </row>
    <row r="255" spans="50:71" ht="18.75" hidden="1" x14ac:dyDescent="0.3">
      <c r="AX255" s="240" t="s">
        <v>2828</v>
      </c>
      <c r="AY255" s="212" t="s">
        <v>260</v>
      </c>
      <c r="AZ255" s="277">
        <f>VLOOKUP(AY255,'Tarieven ZZP'!B30:J262,9,FALSE)</f>
        <v>371.42</v>
      </c>
      <c r="BA255" s="207"/>
      <c r="BQ255" s="135">
        <v>1638</v>
      </c>
      <c r="BR255" s="135">
        <f t="shared" si="47"/>
        <v>2638</v>
      </c>
      <c r="BS255" s="135" t="s">
        <v>1813</v>
      </c>
    </row>
    <row r="256" spans="50:71" ht="18.75" hidden="1" x14ac:dyDescent="0.3">
      <c r="AX256" s="240" t="s">
        <v>2829</v>
      </c>
      <c r="AY256" s="212" t="s">
        <v>295</v>
      </c>
      <c r="AZ256" s="277">
        <f>VLOOKUP(AY256,'Tarieven ZZP'!B31:J263,9,FALSE)</f>
        <v>126.98</v>
      </c>
      <c r="BA256" s="207"/>
      <c r="BQ256" s="135">
        <v>1639</v>
      </c>
      <c r="BR256" s="135">
        <f t="shared" si="47"/>
        <v>2639</v>
      </c>
      <c r="BS256" s="135" t="s">
        <v>1813</v>
      </c>
    </row>
    <row r="257" spans="50:71" ht="18.75" hidden="1" x14ac:dyDescent="0.3">
      <c r="AX257" s="240" t="s">
        <v>2830</v>
      </c>
      <c r="AY257" s="212" t="s">
        <v>70</v>
      </c>
      <c r="AZ257" s="277">
        <f>VLOOKUP(AY257,'Tarieven ZZP'!B32:J264,9,FALSE)</f>
        <v>198.14</v>
      </c>
      <c r="BA257" s="207"/>
      <c r="BQ257" s="135">
        <v>1500</v>
      </c>
      <c r="BR257" s="135">
        <f t="shared" si="47"/>
        <v>2500</v>
      </c>
      <c r="BS257" s="135" t="s">
        <v>1813</v>
      </c>
    </row>
    <row r="258" spans="50:71" ht="18.75" hidden="1" x14ac:dyDescent="0.3">
      <c r="AX258" s="240" t="s">
        <v>2831</v>
      </c>
      <c r="AY258" s="212" t="s">
        <v>322</v>
      </c>
      <c r="AZ258" s="277">
        <f>VLOOKUP(AY258,'Tarieven ZZP'!B33:J265,9,FALSE)</f>
        <v>210.34</v>
      </c>
      <c r="BA258" s="207"/>
      <c r="BQ258" s="135">
        <v>1501</v>
      </c>
      <c r="BR258" s="135">
        <f t="shared" si="47"/>
        <v>2501</v>
      </c>
      <c r="BS258" s="135" t="s">
        <v>1813</v>
      </c>
    </row>
    <row r="259" spans="50:71" ht="18.75" hidden="1" x14ac:dyDescent="0.3">
      <c r="AX259" s="240" t="s">
        <v>2832</v>
      </c>
      <c r="AY259" s="212" t="s">
        <v>320</v>
      </c>
      <c r="AZ259" s="277">
        <f>VLOOKUP(AY259,'Tarieven ZZP'!B34:J266,9,FALSE)</f>
        <v>222.55</v>
      </c>
      <c r="BA259" s="207"/>
      <c r="BQ259" s="135">
        <v>1502</v>
      </c>
      <c r="BR259" s="135">
        <f t="shared" si="47"/>
        <v>2502</v>
      </c>
      <c r="BS259" s="135" t="s">
        <v>1813</v>
      </c>
    </row>
    <row r="260" spans="50:71" ht="18.75" hidden="1" x14ac:dyDescent="0.3">
      <c r="AX260" s="240" t="s">
        <v>2833</v>
      </c>
      <c r="AY260" s="212" t="s">
        <v>346</v>
      </c>
      <c r="AZ260" s="277">
        <f>VLOOKUP(AY260,'Tarieven ZZP'!B35:J267,9,FALSE)</f>
        <v>233.41</v>
      </c>
      <c r="BA260" s="207"/>
      <c r="BQ260" s="135">
        <v>1503</v>
      </c>
      <c r="BR260" s="135">
        <f t="shared" si="47"/>
        <v>2503</v>
      </c>
      <c r="BS260" s="135" t="s">
        <v>1813</v>
      </c>
    </row>
    <row r="261" spans="50:71" ht="18.75" hidden="1" x14ac:dyDescent="0.3">
      <c r="AX261" s="240" t="s">
        <v>2834</v>
      </c>
      <c r="AY261" s="212" t="s">
        <v>243</v>
      </c>
      <c r="AZ261" s="277">
        <f>VLOOKUP(AY261,'Tarieven ZZP'!B36:J268,9,FALSE)</f>
        <v>366.18</v>
      </c>
      <c r="BA261" s="207"/>
      <c r="BQ261" s="135">
        <v>1504</v>
      </c>
      <c r="BR261" s="135">
        <f t="shared" si="47"/>
        <v>2504</v>
      </c>
      <c r="BS261" s="135" t="s">
        <v>1813</v>
      </c>
    </row>
    <row r="262" spans="50:71" ht="18.75" hidden="1" x14ac:dyDescent="0.3">
      <c r="AX262" s="240" t="s">
        <v>2835</v>
      </c>
      <c r="AY262" s="212" t="s">
        <v>151</v>
      </c>
      <c r="AZ262" s="277">
        <f>VLOOKUP(AY262,'Tarieven ZZP'!B37:J269,9,FALSE)</f>
        <v>429.68</v>
      </c>
      <c r="BA262" s="207"/>
      <c r="BQ262" s="135">
        <v>1505</v>
      </c>
      <c r="BR262" s="135">
        <f t="shared" si="47"/>
        <v>2505</v>
      </c>
      <c r="BS262" s="135" t="s">
        <v>1813</v>
      </c>
    </row>
    <row r="263" spans="50:71" ht="18.75" hidden="1" x14ac:dyDescent="0.3">
      <c r="AX263" s="240" t="s">
        <v>2836</v>
      </c>
      <c r="AY263" s="212" t="s">
        <v>175</v>
      </c>
      <c r="AZ263" s="277">
        <f>VLOOKUP(AY263,'Tarieven ZZP'!B38:J270,9,FALSE)</f>
        <v>82.47</v>
      </c>
      <c r="BA263" s="207"/>
      <c r="BQ263" s="135">
        <v>1506</v>
      </c>
      <c r="BR263" s="135">
        <f t="shared" si="47"/>
        <v>2506</v>
      </c>
      <c r="BS263" s="135" t="s">
        <v>1813</v>
      </c>
    </row>
    <row r="264" spans="50:71" ht="18.75" hidden="1" x14ac:dyDescent="0.3">
      <c r="AX264" s="240" t="s">
        <v>2837</v>
      </c>
      <c r="AY264" s="212" t="s">
        <v>67</v>
      </c>
      <c r="AZ264" s="277">
        <f>VLOOKUP(AY264,'Tarieven ZZP'!B39:J271,9,FALSE)</f>
        <v>95.95</v>
      </c>
      <c r="BA264" s="207"/>
      <c r="BQ264" s="135">
        <v>1507</v>
      </c>
      <c r="BR264" s="135">
        <f t="shared" si="47"/>
        <v>2507</v>
      </c>
      <c r="BS264" s="135" t="s">
        <v>1813</v>
      </c>
    </row>
    <row r="265" spans="50:71" ht="18.75" hidden="1" x14ac:dyDescent="0.3">
      <c r="AX265" s="240" t="s">
        <v>2838</v>
      </c>
      <c r="AY265" s="212" t="s">
        <v>277</v>
      </c>
      <c r="AZ265" s="277">
        <f>VLOOKUP(AY265,'Tarieven ZZP'!B40:J272,9,FALSE)</f>
        <v>128.72</v>
      </c>
      <c r="BA265" s="207"/>
      <c r="BQ265" s="135">
        <v>1508</v>
      </c>
      <c r="BR265" s="135">
        <f t="shared" si="47"/>
        <v>2508</v>
      </c>
      <c r="BS265" s="135" t="s">
        <v>1813</v>
      </c>
    </row>
    <row r="266" spans="50:71" ht="18.75" hidden="1" x14ac:dyDescent="0.3">
      <c r="AX266" s="240" t="s">
        <v>2839</v>
      </c>
      <c r="AY266" s="212" t="s">
        <v>149</v>
      </c>
      <c r="AZ266" s="277">
        <f>VLOOKUP(AY266,'Tarieven ZZP'!B41:J273,9,FALSE)</f>
        <v>143.11000000000001</v>
      </c>
      <c r="BA266" s="207"/>
      <c r="BQ266" s="135">
        <v>1509</v>
      </c>
      <c r="BR266" s="135">
        <f t="shared" si="47"/>
        <v>2509</v>
      </c>
      <c r="BS266" s="135" t="s">
        <v>1813</v>
      </c>
    </row>
    <row r="267" spans="50:71" ht="18.75" hidden="1" x14ac:dyDescent="0.3">
      <c r="AX267" s="240" t="s">
        <v>2840</v>
      </c>
      <c r="AY267" s="212" t="s">
        <v>109</v>
      </c>
      <c r="AZ267" s="277">
        <f>VLOOKUP(AY267,'Tarieven ZZP'!B42:J274,9,FALSE)</f>
        <v>126.39</v>
      </c>
      <c r="BA267" s="207"/>
      <c r="BQ267" s="135">
        <v>1510</v>
      </c>
      <c r="BR267" s="135">
        <f t="shared" si="47"/>
        <v>2510</v>
      </c>
      <c r="BS267" s="135" t="s">
        <v>1813</v>
      </c>
    </row>
    <row r="268" spans="50:71" ht="18.75" hidden="1" x14ac:dyDescent="0.3">
      <c r="AX268" s="240" t="s">
        <v>2841</v>
      </c>
      <c r="AY268" s="212" t="s">
        <v>192</v>
      </c>
      <c r="AZ268" s="277">
        <f>VLOOKUP(AY268,'Tarieven ZZP'!B43:J275,9,FALSE)</f>
        <v>153.28</v>
      </c>
      <c r="BA268" s="207"/>
      <c r="BQ268" s="135">
        <v>1511</v>
      </c>
      <c r="BR268" s="135">
        <f t="shared" si="47"/>
        <v>2511</v>
      </c>
      <c r="BS268" s="135" t="s">
        <v>1813</v>
      </c>
    </row>
    <row r="269" spans="50:71" ht="18.75" hidden="1" x14ac:dyDescent="0.3">
      <c r="AX269" s="240" t="s">
        <v>2842</v>
      </c>
      <c r="AY269" s="212" t="s">
        <v>280</v>
      </c>
      <c r="AZ269" s="277">
        <f>VLOOKUP(AY269,'Tarieven ZZP'!B44:J276,9,FALSE)</f>
        <v>181.82</v>
      </c>
      <c r="BA269" s="207"/>
      <c r="BQ269" s="135">
        <v>1512</v>
      </c>
      <c r="BR269" s="135">
        <f t="shared" si="47"/>
        <v>2512</v>
      </c>
      <c r="BS269" s="135" t="s">
        <v>1813</v>
      </c>
    </row>
    <row r="270" spans="50:71" ht="18.75" hidden="1" x14ac:dyDescent="0.3">
      <c r="AX270" s="240" t="s">
        <v>2843</v>
      </c>
      <c r="AY270" s="212" t="s">
        <v>368</v>
      </c>
      <c r="AZ270" s="277">
        <f>VLOOKUP(AY270,'Tarieven ZZP'!B45:J277,9,FALSE)</f>
        <v>158.85</v>
      </c>
      <c r="BA270" s="207"/>
      <c r="BQ270" s="135">
        <v>1513</v>
      </c>
      <c r="BR270" s="135">
        <f t="shared" si="47"/>
        <v>2513</v>
      </c>
      <c r="BS270" s="135" t="s">
        <v>1813</v>
      </c>
    </row>
    <row r="271" spans="50:71" ht="18.75" hidden="1" x14ac:dyDescent="0.3">
      <c r="AX271" s="240" t="s">
        <v>2844</v>
      </c>
      <c r="AY271" s="212" t="s">
        <v>81</v>
      </c>
      <c r="AZ271" s="277">
        <f>VLOOKUP(AY271,'Tarieven ZZP'!B46:J278,9,FALSE)</f>
        <v>194.96</v>
      </c>
      <c r="BA271" s="207"/>
      <c r="BQ271" s="135">
        <v>1514</v>
      </c>
      <c r="BR271" s="135">
        <f t="shared" si="47"/>
        <v>2514</v>
      </c>
      <c r="BS271" s="135" t="s">
        <v>1813</v>
      </c>
    </row>
    <row r="272" spans="50:71" ht="18.75" hidden="1" x14ac:dyDescent="0.3">
      <c r="AX272" s="240" t="s">
        <v>2845</v>
      </c>
      <c r="AY272" s="212" t="s">
        <v>237</v>
      </c>
      <c r="AZ272" s="277">
        <f>VLOOKUP(AY272,'Tarieven ZZP'!B47:J279,9,FALSE)</f>
        <v>216.85</v>
      </c>
      <c r="BA272" s="207"/>
      <c r="BQ272" s="135">
        <v>1515</v>
      </c>
      <c r="BR272" s="135">
        <f t="shared" si="47"/>
        <v>2515</v>
      </c>
      <c r="BS272" s="135" t="s">
        <v>1813</v>
      </c>
    </row>
    <row r="273" spans="50:71" ht="18.75" hidden="1" x14ac:dyDescent="0.3">
      <c r="AX273" s="240" t="s">
        <v>2846</v>
      </c>
      <c r="AY273" s="212" t="s">
        <v>75</v>
      </c>
      <c r="AZ273" s="277">
        <f>VLOOKUP(AY273,'Tarieven ZZP'!B48:J280,9,FALSE)</f>
        <v>170.34</v>
      </c>
      <c r="BA273" s="207"/>
      <c r="BQ273" s="135">
        <v>1516</v>
      </c>
      <c r="BR273" s="135">
        <f t="shared" si="47"/>
        <v>2516</v>
      </c>
      <c r="BS273" s="135" t="s">
        <v>1813</v>
      </c>
    </row>
    <row r="274" spans="50:71" ht="18.75" hidden="1" x14ac:dyDescent="0.3">
      <c r="AX274" s="240" t="s">
        <v>2847</v>
      </c>
      <c r="AY274" s="212" t="s">
        <v>83</v>
      </c>
      <c r="AZ274" s="277">
        <f>VLOOKUP(AY274,'Tarieven ZZP'!B49:J281,9,FALSE)</f>
        <v>197.6</v>
      </c>
      <c r="BA274" s="207"/>
      <c r="BQ274" s="135">
        <v>1580</v>
      </c>
      <c r="BR274" s="135">
        <f t="shared" si="47"/>
        <v>2580</v>
      </c>
      <c r="BS274" s="135" t="s">
        <v>1813</v>
      </c>
    </row>
    <row r="275" spans="50:71" ht="18.75" hidden="1" x14ac:dyDescent="0.3">
      <c r="AX275" s="240" t="s">
        <v>2848</v>
      </c>
      <c r="AY275" s="212" t="s">
        <v>170</v>
      </c>
      <c r="AZ275" s="277">
        <f>VLOOKUP(AY275,'Tarieven ZZP'!B50:J282,9,FALSE)</f>
        <v>240.02</v>
      </c>
      <c r="BA275" s="207"/>
      <c r="BQ275" s="135">
        <v>1584</v>
      </c>
      <c r="BR275" s="135">
        <f>BQ275+1000</f>
        <v>2584</v>
      </c>
      <c r="BS275" s="135" t="s">
        <v>1813</v>
      </c>
    </row>
    <row r="276" spans="50:71" ht="18.75" hidden="1" x14ac:dyDescent="0.3">
      <c r="AX276" s="240" t="s">
        <v>2849</v>
      </c>
      <c r="AY276" s="212" t="s">
        <v>50</v>
      </c>
      <c r="AZ276" s="277">
        <f>VLOOKUP(AY276,'Tarieven ZZP'!B51:J283,9,FALSE)</f>
        <v>215.88</v>
      </c>
      <c r="BA276" s="207"/>
      <c r="BQ276" s="135">
        <v>1585</v>
      </c>
      <c r="BR276" s="135">
        <f>BQ276+1000</f>
        <v>2585</v>
      </c>
      <c r="BS276" s="135" t="s">
        <v>1813</v>
      </c>
    </row>
    <row r="277" spans="50:71" ht="18.75" hidden="1" x14ac:dyDescent="0.3">
      <c r="AX277" s="240" t="s">
        <v>2850</v>
      </c>
      <c r="AY277" s="212" t="s">
        <v>120</v>
      </c>
      <c r="AZ277" s="277">
        <f>VLOOKUP(AY277,'Tarieven ZZP'!B52:J284,9,FALSE)</f>
        <v>259.94</v>
      </c>
      <c r="BA277" s="207"/>
    </row>
    <row r="278" spans="50:71" ht="18.75" hidden="1" x14ac:dyDescent="0.3">
      <c r="AX278" s="240" t="s">
        <v>2851</v>
      </c>
      <c r="AY278" s="212" t="s">
        <v>199</v>
      </c>
      <c r="AZ278" s="277">
        <f>VLOOKUP(AY278,'Tarieven ZZP'!B53:J285,9,FALSE)</f>
        <v>296.66000000000003</v>
      </c>
      <c r="BA278" s="207"/>
    </row>
    <row r="279" spans="50:71" ht="18.75" hidden="1" x14ac:dyDescent="0.3">
      <c r="AX279" s="240" t="s">
        <v>2852</v>
      </c>
      <c r="AY279" s="212" t="s">
        <v>313</v>
      </c>
      <c r="AZ279" s="277">
        <f>VLOOKUP(AY279,'Tarieven ZZP'!B54:J286,9,FALSE)</f>
        <v>143.54</v>
      </c>
      <c r="BA279" s="207"/>
    </row>
    <row r="280" spans="50:71" ht="18.75" hidden="1" x14ac:dyDescent="0.3">
      <c r="AX280" s="240" t="s">
        <v>2853</v>
      </c>
      <c r="AY280" s="212" t="s">
        <v>185</v>
      </c>
      <c r="AZ280" s="277">
        <f>VLOOKUP(AY280,'Tarieven ZZP'!B55:J287,9,FALSE)</f>
        <v>179.05</v>
      </c>
      <c r="BA280" s="207"/>
    </row>
    <row r="281" spans="50:71" ht="18.75" hidden="1" x14ac:dyDescent="0.3">
      <c r="AX281" s="240" t="s">
        <v>2854</v>
      </c>
      <c r="AY281" s="212" t="s">
        <v>226</v>
      </c>
      <c r="AZ281" s="277">
        <f>VLOOKUP(AY281,'Tarieven ZZP'!B56:J288,9,FALSE)</f>
        <v>225.18</v>
      </c>
      <c r="BA281" s="207"/>
    </row>
    <row r="282" spans="50:71" ht="18.75" hidden="1" x14ac:dyDescent="0.3">
      <c r="AX282" s="240" t="s">
        <v>2855</v>
      </c>
      <c r="AY282" s="212" t="s">
        <v>91</v>
      </c>
      <c r="AZ282" s="277">
        <f>VLOOKUP(AY282,'Tarieven ZZP'!B57:J289,9,FALSE)</f>
        <v>194.73</v>
      </c>
      <c r="BA282" s="207"/>
    </row>
    <row r="283" spans="50:71" ht="18.75" hidden="1" x14ac:dyDescent="0.3">
      <c r="AX283" s="240" t="s">
        <v>2856</v>
      </c>
      <c r="AY283" s="212" t="s">
        <v>382</v>
      </c>
      <c r="AZ283" s="277">
        <f>VLOOKUP(AY283,'Tarieven ZZP'!B58:J290,9,FALSE)</f>
        <v>273.98</v>
      </c>
      <c r="BA283" s="207"/>
    </row>
    <row r="284" spans="50:71" ht="18.75" hidden="1" x14ac:dyDescent="0.3">
      <c r="AX284" s="240" t="s">
        <v>2857</v>
      </c>
      <c r="AY284" s="212" t="s">
        <v>122</v>
      </c>
      <c r="AZ284" s="277">
        <f>VLOOKUP(AY284,'Tarieven ZZP'!B59:J291,9,FALSE)</f>
        <v>267.10000000000002</v>
      </c>
      <c r="BA284" s="207"/>
    </row>
    <row r="285" spans="50:71" ht="18.75" hidden="1" x14ac:dyDescent="0.3">
      <c r="AX285" s="240" t="s">
        <v>2858</v>
      </c>
      <c r="AY285" s="212" t="s">
        <v>115</v>
      </c>
      <c r="AZ285" s="277">
        <f>VLOOKUP(AY285,'Tarieven ZZP'!B60:J292,9,FALSE)</f>
        <v>186.1</v>
      </c>
      <c r="BA285" s="207"/>
      <c r="BK285" s="135"/>
      <c r="BL285" s="135"/>
    </row>
    <row r="286" spans="50:71" ht="18.75" hidden="1" x14ac:dyDescent="0.3">
      <c r="AX286" s="240" t="s">
        <v>2859</v>
      </c>
      <c r="AY286" s="212" t="s">
        <v>363</v>
      </c>
      <c r="AZ286" s="277">
        <f>VLOOKUP(AY286,'Tarieven ZZP'!B61:J293,9,FALSE)</f>
        <v>218.97</v>
      </c>
      <c r="BA286" s="207"/>
      <c r="BK286" s="135"/>
      <c r="BL286" s="135"/>
    </row>
    <row r="287" spans="50:71" ht="18.75" hidden="1" x14ac:dyDescent="0.3">
      <c r="AX287" s="240" t="s">
        <v>2860</v>
      </c>
      <c r="AY287" s="212" t="s">
        <v>73</v>
      </c>
      <c r="AZ287" s="277">
        <f>VLOOKUP(AY287,'Tarieven ZZP'!B62:J294,9,FALSE)</f>
        <v>280.76</v>
      </c>
      <c r="BA287" s="207"/>
      <c r="BK287" s="135"/>
      <c r="BL287" s="135"/>
    </row>
    <row r="288" spans="50:71" ht="18.75" hidden="1" x14ac:dyDescent="0.3">
      <c r="AX288" s="240" t="s">
        <v>2861</v>
      </c>
      <c r="AY288" s="212" t="s">
        <v>60</v>
      </c>
      <c r="AZ288" s="277">
        <f>VLOOKUP(AY288,'Tarieven ZZP'!B63:J295,9,FALSE)</f>
        <v>251.38</v>
      </c>
      <c r="BA288" s="207"/>
      <c r="BK288" s="135"/>
      <c r="BL288" s="135"/>
    </row>
    <row r="289" spans="50:64" ht="18.75" hidden="1" x14ac:dyDescent="0.3">
      <c r="AX289" s="240" t="s">
        <v>2862</v>
      </c>
      <c r="AY289" s="212" t="s">
        <v>161</v>
      </c>
      <c r="AZ289" s="277">
        <f>VLOOKUP(AY289,'Tarieven ZZP'!B64:J296,9,FALSE)</f>
        <v>350.87</v>
      </c>
      <c r="BA289" s="207"/>
      <c r="BK289" s="135"/>
      <c r="BL289" s="135"/>
    </row>
    <row r="290" spans="50:64" ht="18.75" hidden="1" x14ac:dyDescent="0.3">
      <c r="AX290" s="240" t="s">
        <v>2863</v>
      </c>
      <c r="AY290" s="212" t="s">
        <v>111</v>
      </c>
      <c r="AZ290" s="277">
        <f>VLOOKUP(AY290,'Tarieven ZZP'!B65:J297,9,FALSE)</f>
        <v>345.41</v>
      </c>
      <c r="BA290" s="207"/>
      <c r="BK290" s="135"/>
      <c r="BL290" s="135"/>
    </row>
    <row r="291" spans="50:64" ht="18.75" hidden="1" x14ac:dyDescent="0.3">
      <c r="AX291" s="240" t="s">
        <v>2864</v>
      </c>
      <c r="AY291" s="212" t="s">
        <v>132</v>
      </c>
      <c r="AZ291" s="277">
        <f>VLOOKUP(AY291,'Tarieven ZZP'!B66:J298,9,FALSE)</f>
        <v>218.26</v>
      </c>
      <c r="BA291" s="207"/>
      <c r="BK291" s="135"/>
      <c r="BL291" s="135"/>
    </row>
    <row r="292" spans="50:64" ht="18.75" hidden="1" x14ac:dyDescent="0.3">
      <c r="AX292" s="240" t="s">
        <v>2865</v>
      </c>
      <c r="AY292" s="212" t="s">
        <v>388</v>
      </c>
      <c r="AZ292" s="277">
        <f>VLOOKUP(AY292,'Tarieven ZZP'!B67:J299,9,FALSE)</f>
        <v>259.58</v>
      </c>
      <c r="BA292" s="207"/>
      <c r="BK292" s="135"/>
      <c r="BL292" s="135"/>
    </row>
    <row r="293" spans="50:64" ht="18.75" hidden="1" x14ac:dyDescent="0.3">
      <c r="AX293" s="240" t="s">
        <v>2866</v>
      </c>
      <c r="AY293" s="212" t="s">
        <v>145</v>
      </c>
      <c r="AZ293" s="277">
        <f>VLOOKUP(AY293,'Tarieven ZZP'!B68:J300,9,FALSE)</f>
        <v>337.38</v>
      </c>
      <c r="BA293" s="207"/>
      <c r="BK293" s="135"/>
      <c r="BL293" s="135"/>
    </row>
    <row r="294" spans="50:64" ht="18.75" hidden="1" x14ac:dyDescent="0.3">
      <c r="AX294" s="240" t="s">
        <v>2867</v>
      </c>
      <c r="AY294" s="212" t="s">
        <v>333</v>
      </c>
      <c r="AZ294" s="277">
        <f>VLOOKUP(AY294,'Tarieven ZZP'!B69:J301,9,FALSE)</f>
        <v>385.52</v>
      </c>
      <c r="BA294" s="207"/>
      <c r="BK294" s="135"/>
      <c r="BL294" s="135"/>
    </row>
    <row r="295" spans="50:64" ht="18.75" hidden="1" x14ac:dyDescent="0.3">
      <c r="AX295" s="240" t="s">
        <v>2868</v>
      </c>
      <c r="AY295" s="212" t="s">
        <v>354</v>
      </c>
      <c r="AZ295" s="277">
        <f>VLOOKUP(AY295,'Tarieven ZZP'!B70:J302,9,FALSE)</f>
        <v>367.8</v>
      </c>
      <c r="BA295" s="207"/>
      <c r="BK295" s="135"/>
      <c r="BL295" s="135"/>
    </row>
    <row r="296" spans="50:64" ht="18.75" hidden="1" x14ac:dyDescent="0.3">
      <c r="AX296" s="240" t="s">
        <v>2869</v>
      </c>
      <c r="AY296" s="212" t="s">
        <v>564</v>
      </c>
      <c r="AZ296" s="277">
        <f>VLOOKUP(AY296,'Tarieven ZZP'!B71:J303,9,FALSE)</f>
        <v>421.16</v>
      </c>
      <c r="BA296" s="207"/>
      <c r="BK296" s="135"/>
      <c r="BL296" s="135"/>
    </row>
    <row r="297" spans="50:64" ht="18.75" hidden="1" x14ac:dyDescent="0.3">
      <c r="AX297" s="240" t="s">
        <v>2870</v>
      </c>
      <c r="AY297" s="212" t="s">
        <v>133</v>
      </c>
      <c r="AZ297" s="277">
        <f>VLOOKUP(AY297,'Tarieven ZZP'!B72:J304,9,FALSE)</f>
        <v>116.9</v>
      </c>
      <c r="BA297" s="207"/>
      <c r="BK297" s="135"/>
      <c r="BL297" s="135"/>
    </row>
    <row r="298" spans="50:64" ht="18.75" hidden="1" x14ac:dyDescent="0.3">
      <c r="AX298" s="240" t="s">
        <v>2871</v>
      </c>
      <c r="AY298" s="212" t="s">
        <v>338</v>
      </c>
      <c r="AZ298" s="277">
        <f>VLOOKUP(AY298,'Tarieven ZZP'!B73:J305,9,FALSE)</f>
        <v>148.94999999999999</v>
      </c>
      <c r="BA298" s="207"/>
      <c r="BK298" s="135"/>
      <c r="BL298" s="135"/>
    </row>
    <row r="299" spans="50:64" ht="18.75" hidden="1" x14ac:dyDescent="0.3">
      <c r="AX299" s="240" t="s">
        <v>2872</v>
      </c>
      <c r="AY299" s="212" t="s">
        <v>207</v>
      </c>
      <c r="AZ299" s="277">
        <f>VLOOKUP(AY299,'Tarieven ZZP'!B74:J306,9,FALSE)</f>
        <v>171.81</v>
      </c>
      <c r="BA299" s="207"/>
      <c r="BK299" s="135"/>
      <c r="BL299" s="135"/>
    </row>
    <row r="300" spans="50:64" ht="18.75" hidden="1" x14ac:dyDescent="0.3">
      <c r="AX300" s="240" t="s">
        <v>2873</v>
      </c>
      <c r="AY300" s="212" t="s">
        <v>116</v>
      </c>
      <c r="AZ300" s="277">
        <f>VLOOKUP(AY300,'Tarieven ZZP'!B75:J307,9,FALSE)</f>
        <v>199.01</v>
      </c>
      <c r="BA300" s="207"/>
      <c r="BK300" s="135"/>
      <c r="BL300" s="135"/>
    </row>
    <row r="301" spans="50:64" ht="18.75" hidden="1" x14ac:dyDescent="0.3">
      <c r="AX301" s="240" t="s">
        <v>2874</v>
      </c>
      <c r="AY301" s="212" t="s">
        <v>76</v>
      </c>
      <c r="AZ301" s="277">
        <f>VLOOKUP(AY301,'Tarieven ZZP'!B76:J308,9,FALSE)</f>
        <v>122.92</v>
      </c>
      <c r="BA301" s="207"/>
      <c r="BK301" s="135"/>
      <c r="BL301" s="135"/>
    </row>
    <row r="302" spans="50:64" ht="18.75" hidden="1" x14ac:dyDescent="0.3">
      <c r="AX302" s="240" t="s">
        <v>2875</v>
      </c>
      <c r="AY302" s="212" t="s">
        <v>204</v>
      </c>
      <c r="AZ302" s="277">
        <f>VLOOKUP(AY302,'Tarieven ZZP'!B77:J309,9,FALSE)</f>
        <v>177.37</v>
      </c>
      <c r="BA302" s="207"/>
      <c r="BK302" s="135"/>
      <c r="BL302" s="135"/>
    </row>
    <row r="303" spans="50:64" ht="18.75" hidden="1" x14ac:dyDescent="0.3">
      <c r="AX303" s="240" t="s">
        <v>2876</v>
      </c>
      <c r="AY303" s="212" t="s">
        <v>355</v>
      </c>
      <c r="AZ303" s="277">
        <f>VLOOKUP(AY303,'Tarieven ZZP'!B78:J310,9,FALSE)</f>
        <v>174.69</v>
      </c>
      <c r="BA303" s="207"/>
      <c r="BK303" s="135"/>
      <c r="BL303" s="135"/>
    </row>
    <row r="304" spans="50:64" ht="18.75" hidden="1" x14ac:dyDescent="0.3">
      <c r="AX304" s="240" t="s">
        <v>2877</v>
      </c>
      <c r="AY304" s="212" t="s">
        <v>180</v>
      </c>
      <c r="AZ304" s="277">
        <f>VLOOKUP(AY304,'Tarieven ZZP'!B79:J311,9,FALSE)</f>
        <v>248.29</v>
      </c>
      <c r="BA304" s="207"/>
      <c r="BK304" s="135"/>
      <c r="BL304" s="135"/>
    </row>
    <row r="305" spans="50:64" ht="18.75" hidden="1" x14ac:dyDescent="0.3">
      <c r="AX305" s="240" t="s">
        <v>2878</v>
      </c>
      <c r="AY305" s="212" t="s">
        <v>229</v>
      </c>
      <c r="AZ305" s="277">
        <f>VLOOKUP(AY305,'Tarieven ZZP'!B80:J312,9,FALSE)</f>
        <v>268.36</v>
      </c>
      <c r="BA305" s="207"/>
      <c r="BK305" s="135"/>
      <c r="BL305" s="135"/>
    </row>
    <row r="306" spans="50:64" ht="18.75" hidden="1" x14ac:dyDescent="0.3">
      <c r="AX306" s="240" t="s">
        <v>2879</v>
      </c>
      <c r="AY306" s="212" t="s">
        <v>159</v>
      </c>
      <c r="AZ306" s="277">
        <f>VLOOKUP(AY306,'Tarieven ZZP'!B81:J313,9,FALSE)</f>
        <v>178.74</v>
      </c>
      <c r="BA306" s="207"/>
      <c r="BK306" s="135"/>
      <c r="BL306" s="135"/>
    </row>
    <row r="307" spans="50:64" ht="18.75" hidden="1" x14ac:dyDescent="0.3">
      <c r="AX307" s="240" t="s">
        <v>2880</v>
      </c>
      <c r="AY307" s="212" t="s">
        <v>100</v>
      </c>
      <c r="AZ307" s="277">
        <f>VLOOKUP(AY307,'Tarieven ZZP'!B82:J314,9,FALSE)</f>
        <v>225.85</v>
      </c>
      <c r="BA307" s="207"/>
      <c r="BK307" s="135"/>
      <c r="BL307" s="135"/>
    </row>
    <row r="308" spans="50:64" ht="18.75" hidden="1" x14ac:dyDescent="0.3">
      <c r="AX308" s="240" t="s">
        <v>2881</v>
      </c>
      <c r="AY308" s="212" t="s">
        <v>152</v>
      </c>
      <c r="AZ308" s="277">
        <f>VLOOKUP(AY308,'Tarieven ZZP'!B83:J315,9,FALSE)</f>
        <v>231.72</v>
      </c>
      <c r="BA308" s="207"/>
      <c r="BK308" s="135"/>
      <c r="BL308" s="135"/>
    </row>
    <row r="309" spans="50:64" ht="18.75" hidden="1" x14ac:dyDescent="0.3">
      <c r="AX309" s="240" t="s">
        <v>2882</v>
      </c>
      <c r="AY309" s="212" t="s">
        <v>51</v>
      </c>
      <c r="AZ309" s="277">
        <f>VLOOKUP(AY309,'Tarieven ZZP'!B84:J316,9,FALSE)</f>
        <v>295.26</v>
      </c>
      <c r="BA309" s="207"/>
      <c r="BK309" s="135"/>
      <c r="BL309" s="135"/>
    </row>
    <row r="310" spans="50:64" ht="18.75" hidden="1" x14ac:dyDescent="0.3">
      <c r="AX310" s="240" t="s">
        <v>2883</v>
      </c>
      <c r="AY310" s="212" t="s">
        <v>211</v>
      </c>
      <c r="AZ310" s="277">
        <f>VLOOKUP(AY310,'Tarieven ZZP'!B85:J317,9,FALSE)</f>
        <v>314.52999999999997</v>
      </c>
      <c r="BA310" s="207"/>
      <c r="BK310" s="135"/>
      <c r="BL310" s="135"/>
    </row>
    <row r="311" spans="50:64" ht="18.75" hidden="1" x14ac:dyDescent="0.3">
      <c r="AX311" s="240" t="s">
        <v>2884</v>
      </c>
      <c r="AY311" s="212" t="s">
        <v>331</v>
      </c>
      <c r="AZ311" s="277">
        <f>VLOOKUP(AY311,'Tarieven ZZP'!B86:J318,9,FALSE)</f>
        <v>142.91</v>
      </c>
      <c r="BA311" s="207"/>
      <c r="BK311" s="135"/>
      <c r="BL311" s="135"/>
    </row>
    <row r="312" spans="50:64" ht="18.75" hidden="1" x14ac:dyDescent="0.3">
      <c r="AX312" s="240" t="s">
        <v>2885</v>
      </c>
      <c r="AY312" s="212" t="s">
        <v>118</v>
      </c>
      <c r="AZ312" s="277">
        <f>VLOOKUP(AY312,'Tarieven ZZP'!B87:J319,9,FALSE)</f>
        <v>207.52</v>
      </c>
      <c r="BA312" s="207"/>
      <c r="BK312" s="135"/>
      <c r="BL312" s="135"/>
    </row>
    <row r="313" spans="50:64" ht="18.75" hidden="1" x14ac:dyDescent="0.3">
      <c r="AX313" s="240" t="s">
        <v>2886</v>
      </c>
      <c r="AY313" s="212" t="s">
        <v>357</v>
      </c>
      <c r="AZ313" s="277">
        <f>VLOOKUP(AY313,'Tarieven ZZP'!B88:J320,9,FALSE)</f>
        <v>218.63</v>
      </c>
      <c r="BA313" s="207"/>
      <c r="BK313" s="135"/>
      <c r="BL313" s="135"/>
    </row>
    <row r="314" spans="50:64" ht="18.75" hidden="1" x14ac:dyDescent="0.3">
      <c r="AX314" s="240" t="s">
        <v>2887</v>
      </c>
      <c r="AY314" s="212" t="s">
        <v>358</v>
      </c>
      <c r="AZ314" s="277">
        <f>VLOOKUP(AY314,'Tarieven ZZP'!B89:J321,9,FALSE)</f>
        <v>293.11</v>
      </c>
      <c r="BA314" s="207"/>
      <c r="BK314" s="135"/>
      <c r="BL314" s="135"/>
    </row>
    <row r="315" spans="50:64" ht="18.75" hidden="1" x14ac:dyDescent="0.3">
      <c r="AX315" s="240" t="s">
        <v>2888</v>
      </c>
      <c r="AY315" s="212" t="s">
        <v>238</v>
      </c>
      <c r="AZ315" s="277">
        <f>VLOOKUP(AY315,'Tarieven ZZP'!B90:J322,9,FALSE)</f>
        <v>323.14</v>
      </c>
      <c r="BA315" s="207"/>
      <c r="BK315" s="135"/>
      <c r="BL315" s="135"/>
    </row>
    <row r="316" spans="50:64" ht="18.75" hidden="1" x14ac:dyDescent="0.3">
      <c r="AX316" s="240" t="s">
        <v>2889</v>
      </c>
      <c r="AY316" s="212" t="s">
        <v>140</v>
      </c>
      <c r="AZ316" s="277">
        <f>VLOOKUP(AY316,'Tarieven ZZP'!B91:J323,9,FALSE)</f>
        <v>198.93</v>
      </c>
      <c r="BA316" s="207"/>
      <c r="BK316" s="135"/>
      <c r="BL316" s="135"/>
    </row>
    <row r="317" spans="50:64" ht="18.75" hidden="1" x14ac:dyDescent="0.3">
      <c r="AX317" s="240" t="s">
        <v>2890</v>
      </c>
      <c r="AY317" s="212" t="s">
        <v>316</v>
      </c>
      <c r="AZ317" s="277">
        <f>VLOOKUP(AY317,'Tarieven ZZP'!B92:J324,9,FALSE)</f>
        <v>255</v>
      </c>
      <c r="BA317" s="207"/>
      <c r="BK317" s="135"/>
      <c r="BL317" s="135"/>
    </row>
    <row r="318" spans="50:64" ht="18.75" hidden="1" x14ac:dyDescent="0.3">
      <c r="AX318" s="240" t="s">
        <v>2891</v>
      </c>
      <c r="AY318" s="212" t="s">
        <v>84</v>
      </c>
      <c r="AZ318" s="277">
        <f>VLOOKUP(AY318,'Tarieven ZZP'!B93:J325,9,FALSE)</f>
        <v>274.66000000000003</v>
      </c>
      <c r="BA318" s="207"/>
      <c r="BK318" s="135"/>
      <c r="BL318" s="135"/>
    </row>
    <row r="319" spans="50:64" ht="18.75" hidden="1" x14ac:dyDescent="0.3">
      <c r="AX319" s="240" t="s">
        <v>2892</v>
      </c>
      <c r="AY319" s="212" t="s">
        <v>139</v>
      </c>
      <c r="AZ319" s="277">
        <f>VLOOKUP(AY319,'Tarieven ZZP'!B94:J326,9,FALSE)</f>
        <v>340.27</v>
      </c>
      <c r="BA319" s="207"/>
      <c r="BK319" s="135"/>
      <c r="BL319" s="135"/>
    </row>
    <row r="320" spans="50:64" ht="18.75" hidden="1" x14ac:dyDescent="0.3">
      <c r="AX320" s="240" t="s">
        <v>2893</v>
      </c>
      <c r="AY320" s="212" t="s">
        <v>347</v>
      </c>
      <c r="AZ320" s="277">
        <f>VLOOKUP(AY320,'Tarieven ZZP'!B95:J327,9,FALSE)</f>
        <v>351.58</v>
      </c>
      <c r="BA320" s="207"/>
      <c r="BK320" s="135"/>
      <c r="BL320" s="135"/>
    </row>
    <row r="321" spans="50:64" ht="18.75" hidden="1" x14ac:dyDescent="0.3">
      <c r="AX321" s="240" t="s">
        <v>2894</v>
      </c>
      <c r="AY321" s="212" t="s">
        <v>302</v>
      </c>
      <c r="AZ321" s="277">
        <f>VLOOKUP(AY321,'Tarieven ZZP'!B96:J328,9,FALSE)</f>
        <v>165.8</v>
      </c>
      <c r="BA321" s="207"/>
      <c r="BK321" s="135"/>
      <c r="BL321" s="135"/>
    </row>
    <row r="322" spans="50:64" ht="18.75" hidden="1" x14ac:dyDescent="0.3">
      <c r="AX322" s="240" t="s">
        <v>2895</v>
      </c>
      <c r="AY322" s="212" t="s">
        <v>86</v>
      </c>
      <c r="AZ322" s="277">
        <f>VLOOKUP(AY322,'Tarieven ZZP'!B97:J329,9,FALSE)</f>
        <v>306.66000000000003</v>
      </c>
      <c r="BA322" s="207"/>
      <c r="BK322" s="135"/>
      <c r="BL322" s="135"/>
    </row>
    <row r="323" spans="50:64" ht="18.75" hidden="1" x14ac:dyDescent="0.3">
      <c r="AX323" s="240" t="s">
        <v>2896</v>
      </c>
      <c r="AY323" s="212" t="s">
        <v>168</v>
      </c>
      <c r="AZ323" s="277">
        <f>VLOOKUP(AY323,'Tarieven ZZP'!B98:J330,9,FALSE)</f>
        <v>345.09</v>
      </c>
      <c r="BA323" s="207"/>
      <c r="BK323" s="135"/>
      <c r="BL323" s="135"/>
    </row>
    <row r="324" spans="50:64" ht="18.75" hidden="1" x14ac:dyDescent="0.3">
      <c r="AX324" s="240" t="s">
        <v>2897</v>
      </c>
      <c r="AY324" s="212" t="s">
        <v>308</v>
      </c>
      <c r="AZ324" s="277">
        <f>VLOOKUP(AY324,'Tarieven ZZP'!B99:J331,9,FALSE)</f>
        <v>199.03</v>
      </c>
      <c r="BA324" s="207"/>
      <c r="BK324" s="135"/>
      <c r="BL324" s="135"/>
    </row>
    <row r="325" spans="50:64" ht="18.75" hidden="1" x14ac:dyDescent="0.3">
      <c r="AX325" s="240" t="s">
        <v>2898</v>
      </c>
      <c r="AY325" s="212" t="s">
        <v>55</v>
      </c>
      <c r="AZ325" s="277">
        <f>VLOOKUP(AY325,'Tarieven ZZP'!B100:J332,9,FALSE)</f>
        <v>204.63</v>
      </c>
      <c r="BA325" s="207"/>
      <c r="BK325" s="135"/>
      <c r="BL325" s="135"/>
    </row>
    <row r="326" spans="50:64" ht="18.75" hidden="1" x14ac:dyDescent="0.3">
      <c r="AX326" s="240" t="s">
        <v>2899</v>
      </c>
      <c r="AY326" s="212" t="s">
        <v>171</v>
      </c>
      <c r="AZ326" s="277">
        <f>VLOOKUP(AY326,'Tarieven ZZP'!B101:J333,9,FALSE)</f>
        <v>356.43</v>
      </c>
      <c r="BA326" s="207"/>
      <c r="BK326" s="135"/>
      <c r="BL326" s="135"/>
    </row>
    <row r="327" spans="50:64" ht="18.75" hidden="1" x14ac:dyDescent="0.3">
      <c r="AX327" s="240" t="s">
        <v>2900</v>
      </c>
      <c r="AY327" s="212" t="s">
        <v>56</v>
      </c>
      <c r="AZ327" s="277">
        <f>VLOOKUP(AY327,'Tarieven ZZP'!B102:J334,9,FALSE)</f>
        <v>388.11</v>
      </c>
      <c r="BA327" s="207"/>
      <c r="BK327" s="135"/>
      <c r="BL327" s="135"/>
    </row>
    <row r="328" spans="50:64" ht="18.75" hidden="1" x14ac:dyDescent="0.3">
      <c r="AX328" s="240" t="s">
        <v>2901</v>
      </c>
      <c r="AY328" s="212" t="s">
        <v>330</v>
      </c>
      <c r="AZ328" s="277">
        <f>VLOOKUP(AY328,'Tarieven ZZP'!B103:J335,9,FALSE)</f>
        <v>261.43</v>
      </c>
      <c r="BA328" s="207"/>
      <c r="BK328" s="135"/>
      <c r="BL328" s="135"/>
    </row>
    <row r="329" spans="50:64" ht="18.75" hidden="1" x14ac:dyDescent="0.3">
      <c r="AX329" s="240" t="s">
        <v>2902</v>
      </c>
      <c r="AY329" s="212" t="s">
        <v>369</v>
      </c>
      <c r="AZ329" s="277">
        <f>VLOOKUP(AY329,'Tarieven ZZP'!B104:J336,9,FALSE)</f>
        <v>160.63999999999999</v>
      </c>
      <c r="BA329" s="207"/>
      <c r="BK329" s="135"/>
      <c r="BL329" s="135"/>
    </row>
    <row r="330" spans="50:64" ht="18.75" hidden="1" x14ac:dyDescent="0.3">
      <c r="AX330" s="240" t="s">
        <v>2903</v>
      </c>
      <c r="AY330" s="212" t="s">
        <v>296</v>
      </c>
      <c r="AZ330" s="277">
        <f>VLOOKUP(AY330,'Tarieven ZZP'!B105:J337,9,FALSE)</f>
        <v>313.37</v>
      </c>
      <c r="BA330" s="207"/>
      <c r="BK330" s="135"/>
      <c r="BL330" s="135"/>
    </row>
    <row r="331" spans="50:64" ht="18.75" hidden="1" x14ac:dyDescent="0.3">
      <c r="AX331" s="240" t="s">
        <v>2904</v>
      </c>
      <c r="AY331" s="212" t="s">
        <v>311</v>
      </c>
      <c r="AZ331" s="277">
        <f>VLOOKUP(AY331,'Tarieven ZZP'!B106:J338,9,FALSE)</f>
        <v>357.86</v>
      </c>
      <c r="BA331" s="207"/>
      <c r="BK331" s="135"/>
      <c r="BL331" s="135"/>
    </row>
    <row r="332" spans="50:64" ht="18.75" hidden="1" x14ac:dyDescent="0.3">
      <c r="AX332" s="240" t="s">
        <v>2905</v>
      </c>
      <c r="AY332" s="212" t="s">
        <v>348</v>
      </c>
      <c r="AZ332" s="277">
        <f>VLOOKUP(AY332,'Tarieven ZZP'!B107:J339,9,FALSE)</f>
        <v>233.42</v>
      </c>
      <c r="BA332" s="207"/>
      <c r="BK332" s="135"/>
      <c r="BL332" s="135"/>
    </row>
    <row r="333" spans="50:64" ht="18.75" hidden="1" x14ac:dyDescent="0.3">
      <c r="AX333" s="240" t="s">
        <v>2906</v>
      </c>
      <c r="AY333" s="212" t="s">
        <v>359</v>
      </c>
      <c r="AZ333" s="277">
        <f>VLOOKUP(AY333,'Tarieven ZZP'!B108:J340,9,FALSE)</f>
        <v>214.44</v>
      </c>
      <c r="BA333" s="207"/>
      <c r="BK333" s="135"/>
      <c r="BL333" s="135"/>
    </row>
    <row r="334" spans="50:64" ht="18.75" hidden="1" x14ac:dyDescent="0.3">
      <c r="AX334" s="240" t="s">
        <v>2907</v>
      </c>
      <c r="AY334" s="212" t="s">
        <v>52</v>
      </c>
      <c r="AZ334" s="277">
        <f>VLOOKUP(AY334,'Tarieven ZZP'!B109:J341,9,FALSE)</f>
        <v>390.88</v>
      </c>
      <c r="BA334" s="207"/>
      <c r="BK334" s="135"/>
      <c r="BL334" s="135"/>
    </row>
    <row r="335" spans="50:64" ht="18.75" hidden="1" x14ac:dyDescent="0.3">
      <c r="AX335" s="240" t="s">
        <v>2908</v>
      </c>
      <c r="AY335" s="212" t="s">
        <v>303</v>
      </c>
      <c r="AZ335" s="277">
        <f>VLOOKUP(AY335,'Tarieven ZZP'!B110:J342,9,FALSE)</f>
        <v>457.94</v>
      </c>
      <c r="BA335" s="207"/>
      <c r="BK335" s="135"/>
      <c r="BL335" s="135"/>
    </row>
    <row r="336" spans="50:64" ht="18.75" hidden="1" x14ac:dyDescent="0.3">
      <c r="AX336" s="240" t="s">
        <v>2909</v>
      </c>
      <c r="AY336" s="212" t="s">
        <v>71</v>
      </c>
      <c r="AZ336" s="277">
        <f>VLOOKUP(AY336,'Tarieven ZZP'!B111:J343,9,FALSE)</f>
        <v>295.83</v>
      </c>
      <c r="BA336" s="207"/>
      <c r="BK336" s="135"/>
      <c r="BL336" s="135"/>
    </row>
    <row r="337" spans="50:64" ht="18.75" hidden="1" x14ac:dyDescent="0.3">
      <c r="AX337" s="240" t="s">
        <v>2910</v>
      </c>
      <c r="AY337" s="212" t="s">
        <v>117</v>
      </c>
      <c r="AZ337" s="277">
        <f>VLOOKUP(AY337,'Tarieven ZZP'!B112:J344,9,FALSE)</f>
        <v>106.52</v>
      </c>
      <c r="BA337" s="207"/>
      <c r="BK337" s="135"/>
      <c r="BL337" s="135"/>
    </row>
    <row r="338" spans="50:64" ht="18.75" hidden="1" x14ac:dyDescent="0.3">
      <c r="AX338" s="240" t="s">
        <v>2911</v>
      </c>
      <c r="AY338" s="212" t="s">
        <v>96</v>
      </c>
      <c r="AZ338" s="277">
        <f>VLOOKUP(AY338,'Tarieven ZZP'!B113:J345,9,FALSE)</f>
        <v>144.35</v>
      </c>
      <c r="BA338" s="207"/>
      <c r="BK338" s="135"/>
      <c r="BL338" s="135"/>
    </row>
    <row r="339" spans="50:64" ht="18.75" hidden="1" x14ac:dyDescent="0.3">
      <c r="AX339" s="240" t="s">
        <v>2912</v>
      </c>
      <c r="AY339" s="212" t="s">
        <v>293</v>
      </c>
      <c r="AZ339" s="277">
        <f>VLOOKUP(AY339,'Tarieven ZZP'!B114:J346,9,FALSE)</f>
        <v>159.99</v>
      </c>
      <c r="BA339" s="207"/>
      <c r="BK339" s="135"/>
      <c r="BL339" s="135"/>
    </row>
    <row r="340" spans="50:64" ht="18.75" hidden="1" x14ac:dyDescent="0.3">
      <c r="AX340" s="240" t="s">
        <v>2913</v>
      </c>
      <c r="AY340" s="212" t="s">
        <v>87</v>
      </c>
      <c r="AZ340" s="277">
        <f>VLOOKUP(AY340,'Tarieven ZZP'!B115:J347,9,FALSE)</f>
        <v>190.36</v>
      </c>
      <c r="BA340" s="207"/>
      <c r="BK340" s="135"/>
      <c r="BL340" s="135"/>
    </row>
    <row r="341" spans="50:64" ht="18.75" hidden="1" x14ac:dyDescent="0.3">
      <c r="AX341" s="240" t="s">
        <v>2914</v>
      </c>
      <c r="AY341" s="212" t="s">
        <v>361</v>
      </c>
      <c r="AZ341" s="277">
        <f>VLOOKUP(AY341,'Tarieven ZZP'!B116:J348,9,FALSE)</f>
        <v>170.26</v>
      </c>
      <c r="BA341" s="207"/>
      <c r="BK341" s="135"/>
      <c r="BL341" s="135"/>
    </row>
    <row r="342" spans="50:64" ht="18.75" hidden="1" x14ac:dyDescent="0.3">
      <c r="AX342" s="240" t="s">
        <v>2915</v>
      </c>
      <c r="AY342" s="212" t="s">
        <v>232</v>
      </c>
      <c r="AZ342" s="277">
        <f>VLOOKUP(AY342,'Tarieven ZZP'!B117:J349,9,FALSE)</f>
        <v>208.86</v>
      </c>
      <c r="BA342" s="207"/>
      <c r="BK342" s="135"/>
      <c r="BL342" s="135"/>
    </row>
    <row r="343" spans="50:64" ht="18.75" hidden="1" x14ac:dyDescent="0.3">
      <c r="AX343" s="240" t="s">
        <v>2916</v>
      </c>
      <c r="AY343" s="212" t="s">
        <v>215</v>
      </c>
      <c r="AZ343" s="277">
        <f>VLOOKUP(AY343,'Tarieven ZZP'!B118:J350,9,FALSE)</f>
        <v>231.99</v>
      </c>
      <c r="BA343" s="207"/>
      <c r="BK343" s="135"/>
      <c r="BL343" s="135"/>
    </row>
    <row r="344" spans="50:64" ht="18.75" hidden="1" x14ac:dyDescent="0.3">
      <c r="AX344" s="240" t="s">
        <v>2917</v>
      </c>
      <c r="AY344" s="212" t="s">
        <v>172</v>
      </c>
      <c r="AZ344" s="277">
        <f>VLOOKUP(AY344,'Tarieven ZZP'!B119:J351,9,FALSE)</f>
        <v>216.29</v>
      </c>
      <c r="BA344" s="207"/>
      <c r="BK344" s="135"/>
      <c r="BL344" s="135"/>
    </row>
    <row r="345" spans="50:64" ht="18.75" hidden="1" x14ac:dyDescent="0.3">
      <c r="AX345" s="240" t="s">
        <v>2918</v>
      </c>
      <c r="AY345" s="212" t="s">
        <v>218</v>
      </c>
      <c r="AZ345" s="277">
        <f>VLOOKUP(AY345,'Tarieven ZZP'!B120:J352,9,FALSE)</f>
        <v>269.36</v>
      </c>
      <c r="BA345" s="207"/>
      <c r="BK345" s="135"/>
      <c r="BL345" s="135"/>
    </row>
    <row r="346" spans="50:64" ht="18.75" hidden="1" x14ac:dyDescent="0.3">
      <c r="AX346" s="240" t="s">
        <v>2919</v>
      </c>
      <c r="AY346" s="212" t="s">
        <v>189</v>
      </c>
      <c r="AZ346" s="277">
        <f>VLOOKUP(AY346,'Tarieven ZZP'!B121:J353,9,FALSE)</f>
        <v>294.36</v>
      </c>
      <c r="BA346" s="207"/>
      <c r="BK346" s="135"/>
      <c r="BL346" s="135"/>
    </row>
    <row r="347" spans="50:64" ht="18.75" hidden="1" x14ac:dyDescent="0.3">
      <c r="AX347" s="240" t="s">
        <v>2920</v>
      </c>
      <c r="AY347" s="212" t="s">
        <v>379</v>
      </c>
      <c r="AZ347" s="277">
        <f>VLOOKUP(AY347,'Tarieven ZZP'!B122:J354,9,FALSE)</f>
        <v>194.87</v>
      </c>
      <c r="BA347" s="207"/>
      <c r="BK347" s="135"/>
      <c r="BL347" s="135"/>
    </row>
    <row r="348" spans="50:64" ht="18.75" hidden="1" x14ac:dyDescent="0.3">
      <c r="AX348" s="240" t="s">
        <v>2921</v>
      </c>
      <c r="AY348" s="212" t="s">
        <v>261</v>
      </c>
      <c r="AZ348" s="277">
        <f>VLOOKUP(AY348,'Tarieven ZZP'!B123:J355,9,FALSE)</f>
        <v>241.64</v>
      </c>
      <c r="BA348" s="207"/>
      <c r="BK348" s="135"/>
      <c r="BL348" s="135"/>
    </row>
    <row r="349" spans="50:64" ht="18.75" hidden="1" x14ac:dyDescent="0.3">
      <c r="AX349" s="240" t="s">
        <v>2922</v>
      </c>
      <c r="AY349" s="212" t="s">
        <v>85</v>
      </c>
      <c r="AZ349" s="277">
        <f>VLOOKUP(AY349,'Tarieven ZZP'!B124:J356,9,FALSE)</f>
        <v>269.32</v>
      </c>
      <c r="BA349" s="207"/>
      <c r="BK349" s="135"/>
      <c r="BL349" s="135"/>
    </row>
    <row r="350" spans="50:64" ht="18.75" hidden="1" x14ac:dyDescent="0.3">
      <c r="AX350" s="240" t="s">
        <v>2923</v>
      </c>
      <c r="AY350" s="212" t="s">
        <v>77</v>
      </c>
      <c r="AZ350" s="277">
        <f>VLOOKUP(AY350,'Tarieven ZZP'!B125:J357,9,FALSE)</f>
        <v>240.9</v>
      </c>
      <c r="BA350" s="207"/>
      <c r="BK350" s="135"/>
      <c r="BL350" s="135"/>
    </row>
    <row r="351" spans="50:64" ht="18.75" hidden="1" x14ac:dyDescent="0.3">
      <c r="AX351" s="240" t="s">
        <v>2924</v>
      </c>
      <c r="AY351" s="212" t="s">
        <v>208</v>
      </c>
      <c r="AZ351" s="277">
        <f>VLOOKUP(AY351,'Tarieven ZZP'!B126:J358,9,FALSE)</f>
        <v>302.12</v>
      </c>
      <c r="BA351" s="207"/>
      <c r="BK351" s="135"/>
      <c r="BL351" s="135"/>
    </row>
    <row r="352" spans="50:64" ht="18.75" hidden="1" x14ac:dyDescent="0.3">
      <c r="AX352" s="240" t="s">
        <v>2925</v>
      </c>
      <c r="AY352" s="212" t="s">
        <v>239</v>
      </c>
      <c r="AZ352" s="277">
        <f>VLOOKUP(AY352,'Tarieven ZZP'!B127:J359,9,FALSE)</f>
        <v>331.67</v>
      </c>
      <c r="BA352" s="207"/>
      <c r="BK352" s="135"/>
      <c r="BL352" s="135"/>
    </row>
    <row r="353" spans="50:64" ht="18.75" hidden="1" x14ac:dyDescent="0.3">
      <c r="AX353" s="240"/>
      <c r="AY353" s="144"/>
      <c r="AZ353" s="278"/>
      <c r="BA353" s="207"/>
      <c r="BK353" s="135"/>
      <c r="BL353" s="135"/>
    </row>
    <row r="354" spans="50:64" ht="18.75" hidden="1" x14ac:dyDescent="0.3">
      <c r="AX354" s="240"/>
      <c r="AY354" s="144"/>
      <c r="AZ354" s="278"/>
      <c r="BA354" s="207"/>
      <c r="BK354" s="135"/>
      <c r="BL354" s="135"/>
    </row>
    <row r="355" spans="50:64" ht="18.75" hidden="1" x14ac:dyDescent="0.3">
      <c r="AX355" s="240"/>
      <c r="AY355" s="144"/>
      <c r="AZ355" s="278"/>
      <c r="BA355" s="207"/>
      <c r="BK355" s="135"/>
      <c r="BL355" s="135"/>
    </row>
    <row r="356" spans="50:64" ht="18.75" hidden="1" x14ac:dyDescent="0.3">
      <c r="AX356" s="240"/>
      <c r="AY356" s="144"/>
      <c r="AZ356" s="278"/>
      <c r="BA356" s="207"/>
      <c r="BK356" s="135"/>
      <c r="BL356" s="135"/>
    </row>
    <row r="357" spans="50:64" ht="18.75" hidden="1" x14ac:dyDescent="0.3">
      <c r="AX357" s="240"/>
      <c r="AY357" s="144"/>
      <c r="AZ357" s="278"/>
      <c r="BA357" s="207"/>
      <c r="BK357" s="135"/>
      <c r="BL357" s="135"/>
    </row>
    <row r="358" spans="50:64" ht="18.75" hidden="1" x14ac:dyDescent="0.3">
      <c r="AX358" s="240"/>
      <c r="AY358" s="144"/>
      <c r="AZ358" s="278"/>
      <c r="BA358" s="207"/>
      <c r="BK358" s="135"/>
      <c r="BL358" s="135"/>
    </row>
    <row r="359" spans="50:64" ht="18.75" hidden="1" x14ac:dyDescent="0.3">
      <c r="AX359" s="240"/>
      <c r="AY359" s="144"/>
      <c r="AZ359" s="278"/>
      <c r="BA359" s="207"/>
      <c r="BK359" s="135"/>
      <c r="BL359" s="135"/>
    </row>
    <row r="360" spans="50:64" ht="18.75" hidden="1" x14ac:dyDescent="0.3">
      <c r="AX360" s="240"/>
      <c r="AY360" s="144"/>
      <c r="AZ360" s="278"/>
      <c r="BA360" s="207"/>
      <c r="BK360" s="135"/>
      <c r="BL360" s="135"/>
    </row>
    <row r="361" spans="50:64" ht="18.75" hidden="1" x14ac:dyDescent="0.3">
      <c r="AX361" s="240"/>
      <c r="AY361" s="144"/>
      <c r="AZ361" s="278"/>
      <c r="BA361" s="207"/>
      <c r="BK361" s="135"/>
      <c r="BL361" s="135"/>
    </row>
    <row r="362" spans="50:64" ht="18.75" hidden="1" x14ac:dyDescent="0.3">
      <c r="AX362" s="240"/>
      <c r="AY362" s="144"/>
      <c r="AZ362" s="278"/>
      <c r="BA362" s="207"/>
      <c r="BK362" s="135"/>
      <c r="BL362" s="135"/>
    </row>
    <row r="363" spans="50:64" ht="18.75" hidden="1" x14ac:dyDescent="0.3">
      <c r="AX363" s="240"/>
      <c r="AY363" s="144"/>
      <c r="AZ363" s="278"/>
      <c r="BA363" s="207"/>
      <c r="BK363" s="135"/>
      <c r="BL363" s="135"/>
    </row>
    <row r="364" spans="50:64" ht="18.75" hidden="1" x14ac:dyDescent="0.3">
      <c r="AX364" s="240"/>
      <c r="AY364" s="144"/>
      <c r="AZ364" s="278"/>
      <c r="BA364" s="207"/>
      <c r="BK364" s="135"/>
      <c r="BL364" s="135"/>
    </row>
    <row r="365" spans="50:64" ht="18.75" hidden="1" x14ac:dyDescent="0.3">
      <c r="AX365" s="240"/>
      <c r="AY365" s="144"/>
      <c r="AZ365" s="278"/>
      <c r="BA365" s="207"/>
      <c r="BK365" s="135"/>
      <c r="BL365" s="135"/>
    </row>
    <row r="366" spans="50:64" ht="18.75" hidden="1" x14ac:dyDescent="0.3">
      <c r="AX366" s="240"/>
      <c r="AY366" s="144"/>
      <c r="AZ366" s="278"/>
      <c r="BA366" s="207"/>
      <c r="BK366" s="135"/>
      <c r="BL366" s="135"/>
    </row>
    <row r="367" spans="50:64" ht="18.75" hidden="1" x14ac:dyDescent="0.3">
      <c r="AX367" s="240"/>
      <c r="AY367" s="144"/>
      <c r="AZ367" s="278"/>
      <c r="BA367" s="207"/>
      <c r="BK367" s="135"/>
      <c r="BL367" s="135"/>
    </row>
    <row r="368" spans="50:64" ht="18.75" hidden="1" x14ac:dyDescent="0.3">
      <c r="AX368" s="240"/>
      <c r="AY368" s="144"/>
      <c r="AZ368" s="278"/>
      <c r="BA368" s="207"/>
      <c r="BK368" s="135"/>
      <c r="BL368" s="135"/>
    </row>
    <row r="369" spans="50:64" ht="18.75" hidden="1" x14ac:dyDescent="0.3">
      <c r="AX369" s="240"/>
      <c r="AY369" s="144"/>
      <c r="AZ369" s="278"/>
      <c r="BA369" s="207"/>
      <c r="BK369" s="135"/>
      <c r="BL369" s="135"/>
    </row>
    <row r="370" spans="50:64" ht="18.75" hidden="1" x14ac:dyDescent="0.3">
      <c r="AX370" s="240"/>
      <c r="AY370" s="144"/>
      <c r="AZ370" s="278"/>
      <c r="BA370" s="207"/>
      <c r="BK370" s="135"/>
      <c r="BL370" s="135"/>
    </row>
    <row r="371" spans="50:64" ht="18.75" hidden="1" x14ac:dyDescent="0.3">
      <c r="AX371" s="240"/>
      <c r="AY371" s="144"/>
      <c r="AZ371" s="278"/>
      <c r="BA371" s="207"/>
      <c r="BK371" s="135"/>
      <c r="BL371" s="135"/>
    </row>
    <row r="372" spans="50:64" ht="18.75" hidden="1" x14ac:dyDescent="0.3">
      <c r="AX372" s="240"/>
      <c r="AY372" s="144"/>
      <c r="AZ372" s="278"/>
      <c r="BA372" s="207"/>
      <c r="BK372" s="135"/>
      <c r="BL372" s="135"/>
    </row>
    <row r="373" spans="50:64" ht="18.75" hidden="1" x14ac:dyDescent="0.3">
      <c r="AX373" s="240"/>
      <c r="AY373" s="144"/>
      <c r="AZ373" s="278"/>
      <c r="BA373" s="207"/>
      <c r="BK373" s="135"/>
      <c r="BL373" s="135"/>
    </row>
    <row r="374" spans="50:64" ht="18.75" hidden="1" x14ac:dyDescent="0.3">
      <c r="AX374" s="240"/>
      <c r="AY374" s="144"/>
      <c r="AZ374" s="278"/>
      <c r="BA374" s="207"/>
      <c r="BK374" s="135"/>
      <c r="BL374" s="135"/>
    </row>
    <row r="375" spans="50:64" ht="18.75" hidden="1" x14ac:dyDescent="0.3">
      <c r="AX375" s="240"/>
      <c r="AY375" s="144"/>
      <c r="AZ375" s="278"/>
      <c r="BA375" s="207"/>
      <c r="BK375" s="135"/>
      <c r="BL375" s="135"/>
    </row>
    <row r="376" spans="50:64" ht="18.75" hidden="1" x14ac:dyDescent="0.3">
      <c r="AX376" s="240"/>
      <c r="AY376" s="144"/>
      <c r="AZ376" s="278"/>
      <c r="BA376" s="207"/>
      <c r="BK376" s="135"/>
      <c r="BL376" s="135"/>
    </row>
    <row r="377" spans="50:64" ht="18.75" hidden="1" x14ac:dyDescent="0.3">
      <c r="AX377" s="240"/>
      <c r="AY377" s="144"/>
      <c r="AZ377" s="278"/>
      <c r="BA377" s="207"/>
      <c r="BK377" s="135"/>
      <c r="BL377" s="135"/>
    </row>
    <row r="378" spans="50:64" ht="18.75" hidden="1" x14ac:dyDescent="0.3">
      <c r="AX378" s="240"/>
      <c r="AY378" s="144"/>
      <c r="AZ378" s="278"/>
      <c r="BA378" s="207"/>
      <c r="BK378" s="135"/>
      <c r="BL378" s="135"/>
    </row>
    <row r="379" spans="50:64" ht="18.75" hidden="1" x14ac:dyDescent="0.3">
      <c r="AX379" s="240"/>
      <c r="AY379" s="144"/>
      <c r="AZ379" s="278"/>
      <c r="BA379" s="207"/>
      <c r="BK379" s="135"/>
      <c r="BL379" s="135"/>
    </row>
    <row r="380" spans="50:64" ht="18.75" hidden="1" x14ac:dyDescent="0.3">
      <c r="AX380" s="240"/>
      <c r="AY380" s="144"/>
      <c r="AZ380" s="278"/>
      <c r="BA380" s="207"/>
      <c r="BK380" s="135"/>
      <c r="BL380" s="135"/>
    </row>
    <row r="381" spans="50:64" ht="18.75" hidden="1" x14ac:dyDescent="0.3">
      <c r="AX381" s="240"/>
      <c r="AY381" s="144"/>
      <c r="AZ381" s="278"/>
      <c r="BA381" s="207"/>
      <c r="BK381" s="135"/>
      <c r="BL381" s="135"/>
    </row>
    <row r="382" spans="50:64" ht="18.75" hidden="1" x14ac:dyDescent="0.3">
      <c r="AX382" s="240"/>
      <c r="AY382" s="144"/>
      <c r="AZ382" s="278"/>
      <c r="BA382" s="207"/>
      <c r="BK382" s="135"/>
      <c r="BL382" s="135"/>
    </row>
    <row r="383" spans="50:64" ht="18.75" hidden="1" x14ac:dyDescent="0.3">
      <c r="AX383" s="240"/>
      <c r="AY383" s="144"/>
      <c r="AZ383" s="278"/>
      <c r="BA383" s="207"/>
      <c r="BK383" s="135"/>
      <c r="BL383" s="135"/>
    </row>
    <row r="384" spans="50:64" ht="18.75" hidden="1" x14ac:dyDescent="0.3">
      <c r="AX384" s="240"/>
      <c r="AY384" s="144"/>
      <c r="AZ384" s="278"/>
      <c r="BA384" s="207"/>
      <c r="BK384" s="135"/>
      <c r="BL384" s="135"/>
    </row>
    <row r="385" spans="50:64" ht="18.75" hidden="1" x14ac:dyDescent="0.3">
      <c r="AX385" s="240"/>
      <c r="AY385" s="144"/>
      <c r="AZ385" s="278"/>
      <c r="BA385" s="207"/>
      <c r="BK385" s="135"/>
      <c r="BL385" s="135"/>
    </row>
    <row r="386" spans="50:64" ht="18.75" hidden="1" x14ac:dyDescent="0.3">
      <c r="AX386" s="240"/>
      <c r="AY386" s="144"/>
      <c r="AZ386" s="278"/>
      <c r="BA386" s="207"/>
      <c r="BK386" s="135"/>
      <c r="BL386" s="135"/>
    </row>
    <row r="387" spans="50:64" ht="18.75" hidden="1" x14ac:dyDescent="0.3">
      <c r="AX387" s="240"/>
      <c r="AY387" s="144"/>
      <c r="AZ387" s="278"/>
      <c r="BA387" s="207"/>
      <c r="BK387" s="135"/>
      <c r="BL387" s="135"/>
    </row>
    <row r="388" spans="50:64" ht="18.75" hidden="1" x14ac:dyDescent="0.3">
      <c r="AX388" s="240"/>
      <c r="AY388" s="144"/>
      <c r="AZ388" s="278"/>
      <c r="BA388" s="207"/>
      <c r="BK388" s="135"/>
      <c r="BL388" s="135"/>
    </row>
    <row r="389" spans="50:64" ht="18.75" hidden="1" x14ac:dyDescent="0.3">
      <c r="AX389" s="240"/>
      <c r="AY389" s="144"/>
      <c r="AZ389" s="278"/>
      <c r="BA389" s="207"/>
      <c r="BK389" s="135"/>
      <c r="BL389" s="135"/>
    </row>
    <row r="390" spans="50:64" ht="18.75" hidden="1" x14ac:dyDescent="0.3">
      <c r="AX390" s="240"/>
      <c r="AY390" s="144"/>
      <c r="AZ390" s="278"/>
      <c r="BA390" s="207"/>
      <c r="BK390" s="135"/>
      <c r="BL390" s="135"/>
    </row>
    <row r="391" spans="50:64" ht="18.75" hidden="1" x14ac:dyDescent="0.3">
      <c r="AX391" s="240"/>
      <c r="AY391" s="144"/>
      <c r="AZ391" s="278"/>
      <c r="BA391" s="207"/>
      <c r="BK391" s="135"/>
      <c r="BL391" s="135"/>
    </row>
    <row r="392" spans="50:64" ht="18.75" hidden="1" x14ac:dyDescent="0.3">
      <c r="AX392" s="240"/>
      <c r="AY392" s="144"/>
      <c r="AZ392" s="278"/>
      <c r="BA392" s="207"/>
      <c r="BK392" s="135"/>
      <c r="BL392" s="135"/>
    </row>
    <row r="393" spans="50:64" ht="18.75" hidden="1" x14ac:dyDescent="0.3">
      <c r="AX393" s="240"/>
      <c r="AY393" s="144"/>
      <c r="AZ393" s="278"/>
      <c r="BA393" s="207"/>
      <c r="BK393" s="135"/>
      <c r="BL393" s="135"/>
    </row>
    <row r="394" spans="50:64" ht="18.75" hidden="1" x14ac:dyDescent="0.3">
      <c r="AX394" s="240"/>
      <c r="AY394" s="144"/>
      <c r="AZ394" s="278"/>
      <c r="BA394" s="207"/>
      <c r="BK394" s="135"/>
      <c r="BL394" s="135"/>
    </row>
    <row r="395" spans="50:64" ht="18.75" hidden="1" x14ac:dyDescent="0.3">
      <c r="AX395" s="240"/>
      <c r="AY395" s="144"/>
      <c r="AZ395" s="278"/>
      <c r="BA395" s="207"/>
      <c r="BK395" s="135"/>
      <c r="BL395" s="135"/>
    </row>
    <row r="396" spans="50:64" ht="18.75" hidden="1" x14ac:dyDescent="0.3">
      <c r="AX396" s="240"/>
      <c r="AY396" s="144"/>
      <c r="AZ396" s="278"/>
      <c r="BA396" s="207"/>
      <c r="BK396" s="135"/>
      <c r="BL396" s="135"/>
    </row>
    <row r="397" spans="50:64" ht="18.75" hidden="1" x14ac:dyDescent="0.3">
      <c r="AX397" s="240"/>
      <c r="AY397" s="144"/>
      <c r="AZ397" s="278"/>
      <c r="BA397" s="207"/>
      <c r="BK397" s="135"/>
      <c r="BL397" s="135"/>
    </row>
    <row r="398" spans="50:64" ht="18.75" hidden="1" x14ac:dyDescent="0.3">
      <c r="AX398" s="240"/>
      <c r="AY398" s="144"/>
      <c r="AZ398" s="278"/>
      <c r="BA398" s="207"/>
      <c r="BK398" s="135"/>
      <c r="BL398" s="135"/>
    </row>
    <row r="399" spans="50:64" ht="18.75" hidden="1" x14ac:dyDescent="0.3">
      <c r="AX399" s="240"/>
      <c r="AY399" s="144"/>
      <c r="AZ399" s="278"/>
      <c r="BA399" s="207"/>
      <c r="BK399" s="135"/>
      <c r="BL399" s="135"/>
    </row>
    <row r="400" spans="50:64" ht="18.75" hidden="1" x14ac:dyDescent="0.3">
      <c r="AX400" s="240"/>
      <c r="AY400" s="144"/>
      <c r="AZ400" s="278"/>
      <c r="BA400" s="207"/>
      <c r="BK400" s="135"/>
      <c r="BL400" s="135"/>
    </row>
    <row r="401" spans="50:64" ht="18.75" hidden="1" x14ac:dyDescent="0.3">
      <c r="AX401" s="240"/>
      <c r="AY401" s="144"/>
      <c r="AZ401" s="278"/>
      <c r="BA401" s="207"/>
      <c r="BK401" s="135"/>
      <c r="BL401" s="135"/>
    </row>
    <row r="402" spans="50:64" ht="18.75" hidden="1" x14ac:dyDescent="0.3">
      <c r="AX402" s="240"/>
      <c r="AY402" s="144"/>
      <c r="AZ402" s="278"/>
      <c r="BA402" s="207"/>
      <c r="BK402" s="135"/>
      <c r="BL402" s="135"/>
    </row>
    <row r="403" spans="50:64" ht="18.75" hidden="1" x14ac:dyDescent="0.3">
      <c r="AX403" s="240"/>
      <c r="AY403" s="144"/>
      <c r="AZ403" s="278"/>
      <c r="BA403" s="207"/>
      <c r="BK403" s="135"/>
      <c r="BL403" s="135"/>
    </row>
    <row r="404" spans="50:64" ht="18.75" hidden="1" x14ac:dyDescent="0.3">
      <c r="AX404" s="240"/>
      <c r="AY404" s="144"/>
      <c r="AZ404" s="278"/>
      <c r="BA404" s="207"/>
      <c r="BK404" s="135"/>
      <c r="BL404" s="135"/>
    </row>
    <row r="405" spans="50:64" ht="18.75" hidden="1" x14ac:dyDescent="0.3">
      <c r="AX405" s="240"/>
      <c r="AY405" s="144"/>
      <c r="AZ405" s="278"/>
      <c r="BA405" s="207"/>
      <c r="BK405" s="135"/>
      <c r="BL405" s="135"/>
    </row>
    <row r="406" spans="50:64" ht="18.75" hidden="1" x14ac:dyDescent="0.3">
      <c r="AX406" s="240"/>
      <c r="AY406" s="144"/>
      <c r="AZ406" s="278"/>
      <c r="BA406" s="207"/>
      <c r="BK406" s="135"/>
      <c r="BL406" s="135"/>
    </row>
    <row r="407" spans="50:64" ht="18.75" hidden="1" x14ac:dyDescent="0.3">
      <c r="AX407" s="240"/>
      <c r="AY407" s="144"/>
      <c r="AZ407" s="278"/>
      <c r="BA407" s="207"/>
      <c r="BK407" s="135"/>
      <c r="BL407" s="135"/>
    </row>
    <row r="408" spans="50:64" ht="18.75" hidden="1" x14ac:dyDescent="0.3">
      <c r="AX408" s="240"/>
      <c r="AY408" s="144"/>
      <c r="AZ408" s="278"/>
      <c r="BA408" s="207"/>
      <c r="BK408" s="135"/>
      <c r="BL408" s="135"/>
    </row>
    <row r="409" spans="50:64" ht="18.75" hidden="1" x14ac:dyDescent="0.3">
      <c r="AX409" s="240"/>
      <c r="AY409" s="144"/>
      <c r="AZ409" s="278"/>
      <c r="BA409" s="207"/>
      <c r="BK409" s="135"/>
      <c r="BL409" s="135"/>
    </row>
    <row r="410" spans="50:64" ht="18.75" hidden="1" x14ac:dyDescent="0.3">
      <c r="AX410" s="240"/>
      <c r="AY410" s="144"/>
      <c r="AZ410" s="278"/>
      <c r="BA410" s="207"/>
      <c r="BK410" s="135"/>
      <c r="BL410" s="135"/>
    </row>
    <row r="411" spans="50:64" ht="18.75" hidden="1" x14ac:dyDescent="0.3">
      <c r="AX411" s="240"/>
      <c r="AY411" s="144"/>
      <c r="AZ411" s="278"/>
      <c r="BA411" s="207"/>
      <c r="BK411" s="135"/>
      <c r="BL411" s="135"/>
    </row>
    <row r="412" spans="50:64" ht="18.75" hidden="1" x14ac:dyDescent="0.3">
      <c r="AX412" s="240"/>
      <c r="AY412" s="144"/>
      <c r="AZ412" s="278"/>
      <c r="BA412" s="207"/>
      <c r="BK412" s="135"/>
      <c r="BL412" s="135"/>
    </row>
    <row r="413" spans="50:64" ht="18.75" hidden="1" x14ac:dyDescent="0.3">
      <c r="AX413" s="240"/>
      <c r="AY413" s="144"/>
      <c r="AZ413" s="278"/>
      <c r="BA413" s="207"/>
      <c r="BK413" s="135"/>
      <c r="BL413" s="135"/>
    </row>
    <row r="414" spans="50:64" ht="18.75" hidden="1" x14ac:dyDescent="0.3">
      <c r="AX414" s="240"/>
      <c r="AY414" s="144"/>
      <c r="AZ414" s="278"/>
      <c r="BA414" s="207"/>
      <c r="BK414" s="135"/>
      <c r="BL414" s="135"/>
    </row>
    <row r="415" spans="50:64" ht="18.75" hidden="1" x14ac:dyDescent="0.3">
      <c r="AX415" s="240"/>
      <c r="AY415" s="144"/>
      <c r="AZ415" s="278"/>
      <c r="BA415" s="207"/>
      <c r="BK415" s="135"/>
      <c r="BL415" s="135"/>
    </row>
    <row r="416" spans="50:64" ht="18.75" hidden="1" x14ac:dyDescent="0.3">
      <c r="AX416" s="240"/>
      <c r="AY416" s="144"/>
      <c r="AZ416" s="278"/>
      <c r="BA416" s="207"/>
      <c r="BK416" s="135"/>
      <c r="BL416" s="135"/>
    </row>
    <row r="417" spans="50:64" ht="18.75" hidden="1" x14ac:dyDescent="0.3">
      <c r="AX417" s="240"/>
      <c r="AY417" s="144"/>
      <c r="AZ417" s="278"/>
      <c r="BA417" s="207"/>
      <c r="BK417" s="135"/>
      <c r="BL417" s="135"/>
    </row>
    <row r="418" spans="50:64" ht="18.75" hidden="1" x14ac:dyDescent="0.3">
      <c r="AX418" s="240"/>
      <c r="AY418" s="144"/>
      <c r="AZ418" s="278"/>
      <c r="BA418" s="207"/>
      <c r="BK418" s="135"/>
      <c r="BL418" s="135"/>
    </row>
    <row r="419" spans="50:64" ht="18.75" hidden="1" x14ac:dyDescent="0.3">
      <c r="AX419" s="240"/>
      <c r="AY419" s="144"/>
      <c r="AZ419" s="278"/>
      <c r="BA419" s="207"/>
      <c r="BK419" s="135"/>
      <c r="BL419" s="135"/>
    </row>
    <row r="420" spans="50:64" ht="18.75" hidden="1" x14ac:dyDescent="0.3">
      <c r="AX420" s="240"/>
      <c r="AY420" s="144"/>
      <c r="AZ420" s="278"/>
      <c r="BA420" s="207"/>
      <c r="BK420" s="135"/>
      <c r="BL420" s="135"/>
    </row>
    <row r="421" spans="50:64" ht="18.75" hidden="1" x14ac:dyDescent="0.3">
      <c r="AX421" s="240"/>
      <c r="AY421" s="144"/>
      <c r="AZ421" s="278"/>
      <c r="BA421" s="207"/>
      <c r="BK421" s="135"/>
      <c r="BL421" s="135"/>
    </row>
    <row r="422" spans="50:64" ht="18.75" hidden="1" x14ac:dyDescent="0.3">
      <c r="AX422" s="240"/>
      <c r="AY422" s="144"/>
      <c r="AZ422" s="278"/>
      <c r="BA422" s="207"/>
      <c r="BK422" s="135"/>
      <c r="BL422" s="135"/>
    </row>
    <row r="423" spans="50:64" ht="18.75" hidden="1" x14ac:dyDescent="0.3">
      <c r="AX423" s="240"/>
      <c r="AY423" s="144"/>
      <c r="AZ423" s="278"/>
      <c r="BA423" s="207"/>
      <c r="BK423" s="135"/>
      <c r="BL423" s="135"/>
    </row>
    <row r="424" spans="50:64" ht="18.75" hidden="1" x14ac:dyDescent="0.3">
      <c r="AX424" s="240"/>
      <c r="AY424" s="144"/>
      <c r="AZ424" s="278"/>
      <c r="BA424" s="207"/>
      <c r="BK424" s="135"/>
      <c r="BL424" s="135"/>
    </row>
    <row r="425" spans="50:64" ht="18.75" hidden="1" x14ac:dyDescent="0.3">
      <c r="AX425" s="240"/>
      <c r="AY425" s="144"/>
      <c r="AZ425" s="278"/>
      <c r="BA425" s="207"/>
      <c r="BK425" s="135"/>
      <c r="BL425" s="135"/>
    </row>
    <row r="426" spans="50:64" ht="18.75" hidden="1" x14ac:dyDescent="0.3">
      <c r="AX426" s="240"/>
      <c r="AY426" s="144"/>
      <c r="AZ426" s="278"/>
      <c r="BA426" s="207"/>
      <c r="BK426" s="135"/>
      <c r="BL426" s="135"/>
    </row>
    <row r="427" spans="50:64" ht="18.75" hidden="1" x14ac:dyDescent="0.3">
      <c r="AX427" s="240"/>
      <c r="AY427" s="144"/>
      <c r="AZ427" s="278"/>
      <c r="BA427" s="207"/>
      <c r="BK427" s="135"/>
      <c r="BL427" s="135"/>
    </row>
    <row r="428" spans="50:64" ht="18.75" hidden="1" x14ac:dyDescent="0.3">
      <c r="AX428" s="240"/>
      <c r="AY428" s="144"/>
      <c r="AZ428" s="278"/>
      <c r="BA428" s="207"/>
      <c r="BK428" s="135"/>
      <c r="BL428" s="135"/>
    </row>
    <row r="429" spans="50:64" ht="18.75" hidden="1" x14ac:dyDescent="0.3">
      <c r="AX429" s="240"/>
      <c r="AY429" s="144"/>
      <c r="AZ429" s="278"/>
      <c r="BA429" s="207"/>
      <c r="BK429" s="135"/>
      <c r="BL429" s="135"/>
    </row>
    <row r="430" spans="50:64" ht="18.75" hidden="1" x14ac:dyDescent="0.3">
      <c r="AX430" s="240"/>
      <c r="AY430" s="144"/>
      <c r="AZ430" s="278"/>
      <c r="BA430" s="207"/>
      <c r="BK430" s="135"/>
      <c r="BL430" s="135"/>
    </row>
    <row r="431" spans="50:64" ht="18.75" hidden="1" x14ac:dyDescent="0.3">
      <c r="AX431" s="240"/>
      <c r="AY431" s="144"/>
      <c r="AZ431" s="278"/>
      <c r="BA431" s="207"/>
      <c r="BK431" s="135"/>
      <c r="BL431" s="135"/>
    </row>
    <row r="432" spans="50:64" ht="18.75" hidden="1" x14ac:dyDescent="0.3">
      <c r="AX432" s="240"/>
      <c r="AY432" s="144"/>
      <c r="AZ432" s="278"/>
      <c r="BA432" s="207"/>
      <c r="BK432" s="135"/>
      <c r="BL432" s="135"/>
    </row>
    <row r="433" spans="50:64" ht="18.75" hidden="1" x14ac:dyDescent="0.3">
      <c r="AX433" s="240"/>
      <c r="AY433" s="144"/>
      <c r="AZ433" s="278"/>
      <c r="BA433" s="207"/>
      <c r="BK433" s="135"/>
      <c r="BL433" s="135"/>
    </row>
    <row r="434" spans="50:64" ht="18.75" hidden="1" x14ac:dyDescent="0.3">
      <c r="AX434" s="240"/>
      <c r="AY434" s="144"/>
      <c r="AZ434" s="278"/>
      <c r="BA434" s="207"/>
      <c r="BK434" s="135"/>
      <c r="BL434" s="135"/>
    </row>
    <row r="435" spans="50:64" ht="18.75" hidden="1" x14ac:dyDescent="0.3">
      <c r="AX435" s="240"/>
      <c r="AY435" s="144"/>
      <c r="AZ435" s="278"/>
      <c r="BA435" s="207"/>
      <c r="BK435" s="135"/>
      <c r="BL435" s="135"/>
    </row>
    <row r="436" spans="50:64" ht="18.75" hidden="1" x14ac:dyDescent="0.3">
      <c r="AX436" s="240"/>
      <c r="AY436" s="144"/>
      <c r="AZ436" s="278"/>
      <c r="BA436" s="207"/>
      <c r="BK436" s="135"/>
      <c r="BL436" s="135"/>
    </row>
    <row r="437" spans="50:64" ht="18.75" hidden="1" x14ac:dyDescent="0.3">
      <c r="AX437" s="240"/>
      <c r="AY437" s="144"/>
      <c r="AZ437" s="278"/>
      <c r="BA437" s="207"/>
      <c r="BK437" s="135"/>
      <c r="BL437" s="135"/>
    </row>
    <row r="438" spans="50:64" ht="18.75" hidden="1" x14ac:dyDescent="0.3">
      <c r="AX438" s="240"/>
      <c r="AY438" s="144"/>
      <c r="AZ438" s="278"/>
      <c r="BA438" s="207"/>
      <c r="BK438" s="135"/>
      <c r="BL438" s="135"/>
    </row>
    <row r="439" spans="50:64" ht="18.75" hidden="1" x14ac:dyDescent="0.3">
      <c r="AX439" s="240"/>
      <c r="AY439" s="144"/>
      <c r="AZ439" s="278"/>
      <c r="BA439" s="207"/>
      <c r="BK439" s="135"/>
      <c r="BL439" s="135"/>
    </row>
    <row r="440" spans="50:64" ht="18.75" hidden="1" x14ac:dyDescent="0.3">
      <c r="AX440" s="240"/>
      <c r="AY440" s="144"/>
      <c r="AZ440" s="278"/>
      <c r="BA440" s="207"/>
      <c r="BK440" s="135"/>
      <c r="BL440" s="135"/>
    </row>
    <row r="441" spans="50:64" ht="18.75" hidden="1" x14ac:dyDescent="0.3">
      <c r="AX441" s="240"/>
      <c r="AY441" s="144"/>
      <c r="AZ441" s="278"/>
      <c r="BA441" s="207"/>
      <c r="BK441" s="135"/>
      <c r="BL441" s="135"/>
    </row>
    <row r="442" spans="50:64" ht="18.75" hidden="1" x14ac:dyDescent="0.3">
      <c r="AX442" s="240"/>
      <c r="AY442" s="144"/>
      <c r="AZ442" s="278"/>
      <c r="BA442" s="207"/>
      <c r="BK442" s="135"/>
      <c r="BL442" s="135"/>
    </row>
    <row r="443" spans="50:64" ht="18.75" hidden="1" x14ac:dyDescent="0.3">
      <c r="AX443" s="240"/>
      <c r="AY443" s="144"/>
      <c r="AZ443" s="278"/>
      <c r="BA443" s="207"/>
      <c r="BK443" s="135"/>
      <c r="BL443" s="135"/>
    </row>
    <row r="444" spans="50:64" ht="18.75" hidden="1" x14ac:dyDescent="0.3">
      <c r="AX444" s="240"/>
      <c r="AY444" s="144"/>
      <c r="AZ444" s="278"/>
      <c r="BA444" s="207"/>
      <c r="BK444" s="135"/>
      <c r="BL444" s="135"/>
    </row>
    <row r="445" spans="50:64" ht="18.75" hidden="1" x14ac:dyDescent="0.3">
      <c r="AX445" s="240"/>
      <c r="AY445" s="144"/>
      <c r="AZ445" s="278"/>
      <c r="BA445" s="207"/>
      <c r="BK445" s="135"/>
      <c r="BL445" s="135"/>
    </row>
    <row r="446" spans="50:64" ht="18.75" hidden="1" x14ac:dyDescent="0.3">
      <c r="AX446" s="240"/>
      <c r="AY446" s="144"/>
      <c r="AZ446" s="278"/>
      <c r="BA446" s="207"/>
      <c r="BK446" s="135"/>
      <c r="BL446" s="135"/>
    </row>
    <row r="447" spans="50:64" ht="18.75" hidden="1" x14ac:dyDescent="0.3">
      <c r="AX447" s="240"/>
      <c r="AY447" s="144"/>
      <c r="AZ447" s="278"/>
      <c r="BA447" s="207"/>
      <c r="BK447" s="135"/>
      <c r="BL447" s="135"/>
    </row>
    <row r="448" spans="50:64" ht="18.75" hidden="1" x14ac:dyDescent="0.3">
      <c r="AX448" s="240"/>
      <c r="AY448" s="144"/>
      <c r="AZ448" s="278"/>
      <c r="BA448" s="207"/>
      <c r="BK448" s="135"/>
      <c r="BL448" s="135"/>
    </row>
    <row r="449" spans="50:64" ht="18.75" hidden="1" x14ac:dyDescent="0.3">
      <c r="AX449" s="240"/>
      <c r="AY449" s="144"/>
      <c r="AZ449" s="278"/>
      <c r="BA449" s="207"/>
      <c r="BK449" s="135"/>
      <c r="BL449" s="135"/>
    </row>
    <row r="450" spans="50:64" ht="18.75" hidden="1" x14ac:dyDescent="0.3">
      <c r="AX450" s="240"/>
      <c r="AY450" s="144"/>
      <c r="AZ450" s="278"/>
      <c r="BA450" s="207"/>
      <c r="BK450" s="135"/>
      <c r="BL450" s="135"/>
    </row>
    <row r="451" spans="50:64" ht="18.75" hidden="1" x14ac:dyDescent="0.3">
      <c r="AX451" s="240"/>
      <c r="AY451" s="144"/>
      <c r="AZ451" s="278"/>
      <c r="BA451" s="207"/>
      <c r="BK451" s="135"/>
      <c r="BL451" s="135"/>
    </row>
    <row r="452" spans="50:64" ht="18.75" hidden="1" x14ac:dyDescent="0.3">
      <c r="AX452" s="240"/>
      <c r="AY452" s="144"/>
      <c r="AZ452" s="278"/>
      <c r="BA452" s="207"/>
      <c r="BK452" s="135"/>
      <c r="BL452" s="135"/>
    </row>
    <row r="453" spans="50:64" ht="18.75" hidden="1" x14ac:dyDescent="0.3">
      <c r="AX453" s="240"/>
      <c r="AY453" s="144"/>
      <c r="AZ453" s="278"/>
      <c r="BA453" s="207"/>
      <c r="BK453" s="135"/>
      <c r="BL453" s="135"/>
    </row>
    <row r="454" spans="50:64" ht="18.75" hidden="1" x14ac:dyDescent="0.3">
      <c r="AX454" s="240"/>
      <c r="AY454" s="144"/>
      <c r="AZ454" s="278"/>
      <c r="BA454" s="207"/>
      <c r="BK454" s="135"/>
      <c r="BL454" s="135"/>
    </row>
    <row r="455" spans="50:64" ht="18.75" hidden="1" x14ac:dyDescent="0.3">
      <c r="AX455" s="240"/>
      <c r="AY455" s="144"/>
      <c r="AZ455" s="278"/>
      <c r="BA455" s="207"/>
      <c r="BK455" s="135"/>
      <c r="BL455" s="135"/>
    </row>
    <row r="456" spans="50:64" ht="18.75" hidden="1" x14ac:dyDescent="0.3">
      <c r="AX456" s="240"/>
      <c r="AY456" s="144"/>
      <c r="AZ456" s="278"/>
      <c r="BA456" s="207"/>
      <c r="BK456" s="135"/>
      <c r="BL456" s="135"/>
    </row>
    <row r="457" spans="50:64" ht="18.75" hidden="1" x14ac:dyDescent="0.3">
      <c r="AX457" s="240"/>
      <c r="AY457" s="144"/>
      <c r="AZ457" s="278"/>
      <c r="BA457" s="207"/>
      <c r="BK457" s="135"/>
      <c r="BL457" s="135"/>
    </row>
    <row r="458" spans="50:64" ht="18.75" hidden="1" x14ac:dyDescent="0.3">
      <c r="AX458" s="240"/>
      <c r="AY458" s="144"/>
      <c r="AZ458" s="278"/>
      <c r="BA458" s="207"/>
      <c r="BK458" s="135"/>
      <c r="BL458" s="135"/>
    </row>
    <row r="459" spans="50:64" ht="18.75" hidden="1" x14ac:dyDescent="0.3">
      <c r="AX459" s="240"/>
      <c r="AY459" s="144"/>
      <c r="AZ459" s="278"/>
      <c r="BA459" s="207"/>
      <c r="BK459" s="135"/>
      <c r="BL459" s="135"/>
    </row>
    <row r="460" spans="50:64" ht="18.75" hidden="1" x14ac:dyDescent="0.3">
      <c r="AX460" s="240"/>
      <c r="AY460" s="144"/>
      <c r="AZ460" s="278"/>
      <c r="BA460" s="207"/>
      <c r="BK460" s="135"/>
      <c r="BL460" s="135"/>
    </row>
    <row r="461" spans="50:64" ht="18.75" hidden="1" x14ac:dyDescent="0.3">
      <c r="AX461" s="240"/>
      <c r="AY461" s="144"/>
      <c r="AZ461" s="278"/>
      <c r="BA461" s="207"/>
      <c r="BK461" s="135"/>
      <c r="BL461" s="135"/>
    </row>
    <row r="462" spans="50:64" ht="18.75" hidden="1" x14ac:dyDescent="0.3">
      <c r="AX462" s="240"/>
      <c r="AY462" s="144"/>
      <c r="AZ462" s="278"/>
      <c r="BA462" s="207"/>
      <c r="BK462" s="135"/>
      <c r="BL462" s="135"/>
    </row>
    <row r="463" spans="50:64" ht="18.75" hidden="1" x14ac:dyDescent="0.3">
      <c r="AX463" s="240"/>
      <c r="AY463" s="144"/>
      <c r="AZ463" s="278"/>
      <c r="BA463" s="207"/>
      <c r="BK463" s="135"/>
      <c r="BL463" s="135"/>
    </row>
    <row r="464" spans="50:64" ht="18.75" hidden="1" x14ac:dyDescent="0.3">
      <c r="AX464" s="240"/>
      <c r="AY464" s="144"/>
      <c r="AZ464" s="278"/>
      <c r="BA464" s="207"/>
      <c r="BK464" s="135"/>
      <c r="BL464" s="135"/>
    </row>
    <row r="465" spans="50:64" ht="18.75" hidden="1" x14ac:dyDescent="0.3">
      <c r="AX465" s="240"/>
      <c r="AY465" s="144"/>
      <c r="AZ465" s="278"/>
      <c r="BA465" s="207"/>
      <c r="BK465" s="135"/>
      <c r="BL465" s="135"/>
    </row>
    <row r="466" spans="50:64" ht="18.75" hidden="1" x14ac:dyDescent="0.3">
      <c r="AX466" s="240"/>
      <c r="AY466" s="144"/>
      <c r="AZ466" s="278"/>
      <c r="BA466" s="207"/>
      <c r="BK466" s="135"/>
      <c r="BL466" s="135"/>
    </row>
    <row r="467" spans="50:64" ht="18.75" hidden="1" x14ac:dyDescent="0.3">
      <c r="AX467" s="240"/>
      <c r="AY467" s="144"/>
      <c r="AZ467" s="278"/>
      <c r="BA467" s="207"/>
      <c r="BK467" s="135"/>
      <c r="BL467" s="135"/>
    </row>
    <row r="468" spans="50:64" ht="18.75" hidden="1" x14ac:dyDescent="0.3">
      <c r="AX468" s="240"/>
      <c r="AY468" s="144"/>
      <c r="AZ468" s="278"/>
      <c r="BA468" s="207"/>
      <c r="BK468" s="135"/>
      <c r="BL468" s="135"/>
    </row>
    <row r="469" spans="50:64" ht="18.75" hidden="1" x14ac:dyDescent="0.3">
      <c r="AX469" s="240"/>
      <c r="AY469" s="144"/>
      <c r="AZ469" s="278"/>
      <c r="BA469" s="207"/>
      <c r="BK469" s="135"/>
      <c r="BL469" s="135"/>
    </row>
    <row r="470" spans="50:64" ht="18.75" hidden="1" x14ac:dyDescent="0.3">
      <c r="AX470" s="240"/>
      <c r="AY470" s="144"/>
      <c r="AZ470" s="278"/>
      <c r="BA470" s="207"/>
      <c r="BK470" s="135"/>
      <c r="BL470" s="135"/>
    </row>
    <row r="471" spans="50:64" ht="18.75" hidden="1" x14ac:dyDescent="0.3">
      <c r="AX471" s="240"/>
      <c r="AY471" s="144"/>
      <c r="AZ471" s="278"/>
      <c r="BA471" s="207"/>
      <c r="BK471" s="135"/>
      <c r="BL471" s="135"/>
    </row>
    <row r="472" spans="50:64" ht="18.75" hidden="1" x14ac:dyDescent="0.3">
      <c r="AX472" s="240"/>
      <c r="AY472" s="144"/>
      <c r="AZ472" s="278"/>
      <c r="BA472" s="207"/>
      <c r="BK472" s="135"/>
      <c r="BL472" s="135"/>
    </row>
    <row r="473" spans="50:64" ht="18.75" hidden="1" x14ac:dyDescent="0.3">
      <c r="AX473" s="240"/>
      <c r="AY473" s="144"/>
      <c r="AZ473" s="278"/>
      <c r="BA473" s="207"/>
      <c r="BK473" s="135"/>
      <c r="BL473" s="135"/>
    </row>
    <row r="474" spans="50:64" ht="18.75" hidden="1" x14ac:dyDescent="0.3">
      <c r="AX474" s="240"/>
      <c r="AY474" s="144"/>
      <c r="AZ474" s="278"/>
      <c r="BA474" s="207"/>
      <c r="BK474" s="135"/>
      <c r="BL474" s="135"/>
    </row>
    <row r="475" spans="50:64" ht="18.75" hidden="1" x14ac:dyDescent="0.3">
      <c r="AX475" s="240"/>
      <c r="AY475" s="144"/>
      <c r="AZ475" s="278"/>
      <c r="BA475" s="207"/>
      <c r="BK475" s="135"/>
      <c r="BL475" s="135"/>
    </row>
    <row r="476" spans="50:64" ht="18.75" hidden="1" x14ac:dyDescent="0.3">
      <c r="AX476" s="240"/>
      <c r="AY476" s="144"/>
      <c r="AZ476" s="278"/>
      <c r="BA476" s="207"/>
      <c r="BK476" s="135"/>
      <c r="BL476" s="135"/>
    </row>
    <row r="477" spans="50:64" ht="18.75" hidden="1" x14ac:dyDescent="0.3">
      <c r="AX477" s="240"/>
      <c r="AY477" s="144"/>
      <c r="AZ477" s="278"/>
      <c r="BA477" s="207"/>
      <c r="BK477" s="135"/>
      <c r="BL477" s="135"/>
    </row>
    <row r="478" spans="50:64" ht="18.75" hidden="1" x14ac:dyDescent="0.3">
      <c r="AX478" s="240"/>
      <c r="AY478" s="144"/>
      <c r="AZ478" s="278"/>
      <c r="BA478" s="207"/>
      <c r="BK478" s="135"/>
      <c r="BL478" s="135"/>
    </row>
    <row r="479" spans="50:64" ht="18.75" hidden="1" x14ac:dyDescent="0.3">
      <c r="AX479" s="240"/>
      <c r="AY479" s="144"/>
      <c r="AZ479" s="278"/>
      <c r="BA479" s="207"/>
      <c r="BK479" s="135"/>
      <c r="BL479" s="135"/>
    </row>
    <row r="480" spans="50:64" ht="18.75" hidden="1" x14ac:dyDescent="0.3">
      <c r="AX480" s="240"/>
      <c r="AY480" s="144"/>
      <c r="AZ480" s="278"/>
      <c r="BA480" s="207"/>
      <c r="BK480" s="135"/>
      <c r="BL480" s="135"/>
    </row>
    <row r="481" spans="50:64" ht="18.75" hidden="1" x14ac:dyDescent="0.3">
      <c r="AX481" s="240"/>
      <c r="AY481" s="144"/>
      <c r="AZ481" s="278"/>
      <c r="BA481" s="207"/>
      <c r="BK481" s="135"/>
      <c r="BL481" s="135"/>
    </row>
    <row r="482" spans="50:64" ht="18.75" hidden="1" x14ac:dyDescent="0.3">
      <c r="AX482" s="240"/>
      <c r="AY482" s="144"/>
      <c r="AZ482" s="278"/>
      <c r="BA482" s="207"/>
      <c r="BK482" s="135"/>
      <c r="BL482" s="135"/>
    </row>
    <row r="483" spans="50:64" ht="18.75" hidden="1" x14ac:dyDescent="0.3">
      <c r="AX483" s="240"/>
      <c r="AY483" s="144"/>
      <c r="AZ483" s="278"/>
      <c r="BA483" s="207"/>
      <c r="BK483" s="135"/>
      <c r="BL483" s="135"/>
    </row>
    <row r="484" spans="50:64" ht="18.75" hidden="1" x14ac:dyDescent="0.3">
      <c r="AX484" s="240"/>
      <c r="AY484" s="144"/>
      <c r="AZ484" s="278"/>
      <c r="BA484" s="207"/>
      <c r="BK484" s="135"/>
      <c r="BL484" s="135"/>
    </row>
    <row r="485" spans="50:64" ht="18.75" hidden="1" x14ac:dyDescent="0.3">
      <c r="AX485" s="240"/>
      <c r="AY485" s="144"/>
      <c r="AZ485" s="278"/>
      <c r="BA485" s="207"/>
      <c r="BK485" s="135"/>
      <c r="BL485" s="135"/>
    </row>
    <row r="486" spans="50:64" ht="18.75" hidden="1" x14ac:dyDescent="0.3">
      <c r="AX486" s="240"/>
      <c r="AY486" s="144"/>
      <c r="AZ486" s="278"/>
      <c r="BA486" s="207"/>
      <c r="BK486" s="135"/>
      <c r="BL486" s="135"/>
    </row>
    <row r="487" spans="50:64" ht="18.75" hidden="1" x14ac:dyDescent="0.3">
      <c r="AX487" s="240"/>
      <c r="AY487" s="144"/>
      <c r="AZ487" s="278"/>
      <c r="BA487" s="207"/>
      <c r="BK487" s="135"/>
      <c r="BL487" s="135"/>
    </row>
    <row r="488" spans="50:64" ht="18.75" hidden="1" x14ac:dyDescent="0.3">
      <c r="AX488" s="240"/>
      <c r="AY488" s="144"/>
      <c r="AZ488" s="278"/>
      <c r="BA488" s="207"/>
      <c r="BK488" s="135"/>
      <c r="BL488" s="135"/>
    </row>
    <row r="489" spans="50:64" ht="18.75" hidden="1" x14ac:dyDescent="0.3">
      <c r="AX489" s="240"/>
      <c r="AY489" s="144"/>
      <c r="AZ489" s="278"/>
      <c r="BA489" s="207"/>
      <c r="BK489" s="135"/>
      <c r="BL489" s="135"/>
    </row>
    <row r="490" spans="50:64" ht="18.75" hidden="1" x14ac:dyDescent="0.3">
      <c r="AX490" s="240"/>
      <c r="AY490" s="144"/>
      <c r="AZ490" s="278"/>
      <c r="BA490" s="207"/>
      <c r="BK490" s="135"/>
      <c r="BL490" s="135"/>
    </row>
    <row r="491" spans="50:64" ht="18.75" hidden="1" x14ac:dyDescent="0.3">
      <c r="AX491" s="240"/>
      <c r="AY491" s="144"/>
      <c r="AZ491" s="278"/>
      <c r="BA491" s="207"/>
      <c r="BK491" s="135"/>
      <c r="BL491" s="135"/>
    </row>
    <row r="492" spans="50:64" ht="18.75" hidden="1" x14ac:dyDescent="0.3">
      <c r="AX492" s="240"/>
      <c r="AY492" s="144"/>
      <c r="AZ492" s="278"/>
      <c r="BA492" s="207"/>
      <c r="BK492" s="135"/>
      <c r="BL492" s="135"/>
    </row>
    <row r="493" spans="50:64" ht="18.75" hidden="1" x14ac:dyDescent="0.3">
      <c r="AX493" s="240"/>
      <c r="AY493" s="144"/>
      <c r="AZ493" s="278"/>
      <c r="BA493" s="207"/>
      <c r="BK493" s="135"/>
      <c r="BL493" s="135"/>
    </row>
    <row r="494" spans="50:64" ht="18.75" hidden="1" x14ac:dyDescent="0.3">
      <c r="AX494" s="240"/>
      <c r="AY494" s="144"/>
      <c r="AZ494" s="278"/>
      <c r="BA494" s="207"/>
      <c r="BK494" s="135"/>
      <c r="BL494" s="135"/>
    </row>
    <row r="495" spans="50:64" ht="18.75" hidden="1" x14ac:dyDescent="0.3">
      <c r="AX495" s="240"/>
      <c r="AY495" s="144"/>
      <c r="AZ495" s="278"/>
      <c r="BA495" s="207"/>
      <c r="BK495" s="135"/>
      <c r="BL495" s="135"/>
    </row>
    <row r="496" spans="50:64" ht="18.75" hidden="1" x14ac:dyDescent="0.3">
      <c r="AX496" s="240"/>
      <c r="AY496" s="144"/>
      <c r="AZ496" s="278"/>
      <c r="BA496" s="207"/>
      <c r="BK496" s="135"/>
      <c r="BL496" s="135"/>
    </row>
    <row r="497" spans="50:64" ht="18.75" hidden="1" x14ac:dyDescent="0.3">
      <c r="AX497" s="240"/>
      <c r="AY497" s="144"/>
      <c r="AZ497" s="278"/>
      <c r="BA497" s="207"/>
      <c r="BK497" s="135"/>
      <c r="BL497" s="135"/>
    </row>
    <row r="498" spans="50:64" ht="18.75" hidden="1" x14ac:dyDescent="0.3">
      <c r="AX498" s="240"/>
      <c r="AY498" s="144"/>
      <c r="AZ498" s="278"/>
      <c r="BA498" s="207"/>
      <c r="BK498" s="135"/>
      <c r="BL498" s="135"/>
    </row>
    <row r="499" spans="50:64" ht="18.75" hidden="1" x14ac:dyDescent="0.3">
      <c r="AX499" s="240"/>
      <c r="AY499" s="144"/>
      <c r="AZ499" s="278"/>
      <c r="BA499" s="207"/>
      <c r="BK499" s="135"/>
      <c r="BL499" s="135"/>
    </row>
    <row r="500" spans="50:64" ht="18.75" hidden="1" x14ac:dyDescent="0.3">
      <c r="AX500" s="240"/>
      <c r="AY500" s="144"/>
      <c r="AZ500" s="278"/>
      <c r="BA500" s="207"/>
      <c r="BK500" s="135"/>
      <c r="BL500" s="135"/>
    </row>
    <row r="501" spans="50:64" ht="18.75" hidden="1" x14ac:dyDescent="0.3">
      <c r="AX501" s="240"/>
      <c r="AY501" s="144"/>
      <c r="AZ501" s="278"/>
      <c r="BA501" s="207"/>
      <c r="BK501" s="135"/>
      <c r="BL501" s="135"/>
    </row>
    <row r="502" spans="50:64" ht="18.75" hidden="1" x14ac:dyDescent="0.3">
      <c r="AX502" s="240"/>
      <c r="AY502" s="144"/>
      <c r="AZ502" s="278"/>
      <c r="BA502" s="207"/>
      <c r="BK502" s="135"/>
      <c r="BL502" s="135"/>
    </row>
    <row r="503" spans="50:64" ht="18.75" hidden="1" x14ac:dyDescent="0.3">
      <c r="AX503" s="240"/>
      <c r="AY503" s="144"/>
      <c r="AZ503" s="278"/>
      <c r="BA503" s="207"/>
      <c r="BK503" s="135"/>
      <c r="BL503" s="135"/>
    </row>
    <row r="504" spans="50:64" ht="18.75" hidden="1" x14ac:dyDescent="0.3">
      <c r="AX504" s="240"/>
      <c r="AY504" s="144"/>
      <c r="AZ504" s="278"/>
      <c r="BA504" s="207"/>
      <c r="BK504" s="135"/>
      <c r="BL504" s="135"/>
    </row>
    <row r="505" spans="50:64" ht="18.75" hidden="1" x14ac:dyDescent="0.3">
      <c r="AX505" s="240"/>
      <c r="AY505" s="144"/>
      <c r="AZ505" s="278"/>
      <c r="BA505" s="207"/>
      <c r="BK505" s="135"/>
      <c r="BL505" s="135"/>
    </row>
    <row r="506" spans="50:64" ht="18.75" hidden="1" x14ac:dyDescent="0.3">
      <c r="AX506" s="240"/>
      <c r="AY506" s="144"/>
      <c r="AZ506" s="278"/>
      <c r="BA506" s="207"/>
      <c r="BK506" s="135"/>
      <c r="BL506" s="135"/>
    </row>
    <row r="507" spans="50:64" ht="18.75" hidden="1" x14ac:dyDescent="0.3">
      <c r="AX507" s="240"/>
      <c r="AY507" s="144"/>
      <c r="AZ507" s="278"/>
      <c r="BA507" s="207"/>
      <c r="BK507" s="135"/>
      <c r="BL507" s="135"/>
    </row>
    <row r="508" spans="50:64" ht="18.75" hidden="1" x14ac:dyDescent="0.3">
      <c r="AX508" s="240"/>
      <c r="AY508" s="144"/>
      <c r="AZ508" s="278"/>
      <c r="BA508" s="207"/>
      <c r="BK508" s="135"/>
      <c r="BL508" s="135"/>
    </row>
    <row r="509" spans="50:64" ht="18.75" hidden="1" x14ac:dyDescent="0.3">
      <c r="AX509" s="240"/>
      <c r="AY509" s="144"/>
      <c r="AZ509" s="278"/>
      <c r="BA509" s="207"/>
      <c r="BK509" s="135"/>
      <c r="BL509" s="135"/>
    </row>
    <row r="510" spans="50:64" ht="18.75" hidden="1" x14ac:dyDescent="0.3">
      <c r="AX510" s="240"/>
      <c r="AY510" s="144"/>
      <c r="AZ510" s="278"/>
      <c r="BA510" s="207"/>
      <c r="BK510" s="135"/>
      <c r="BL510" s="135"/>
    </row>
    <row r="511" spans="50:64" ht="18.75" hidden="1" x14ac:dyDescent="0.3">
      <c r="AX511" s="240"/>
      <c r="AY511" s="144"/>
      <c r="AZ511" s="278"/>
      <c r="BA511" s="207"/>
      <c r="BK511" s="135"/>
      <c r="BL511" s="135"/>
    </row>
    <row r="512" spans="50:64" ht="18.75" hidden="1" x14ac:dyDescent="0.3">
      <c r="AX512" s="240"/>
      <c r="AY512" s="144"/>
      <c r="AZ512" s="278"/>
      <c r="BA512" s="207"/>
      <c r="BK512" s="135"/>
      <c r="BL512" s="135"/>
    </row>
    <row r="513" spans="50:64" ht="18.75" hidden="1" x14ac:dyDescent="0.3">
      <c r="AX513" s="240"/>
      <c r="AY513" s="144"/>
      <c r="AZ513" s="278"/>
      <c r="BA513" s="207"/>
      <c r="BK513" s="135"/>
      <c r="BL513" s="135"/>
    </row>
    <row r="514" spans="50:64" ht="18.75" hidden="1" x14ac:dyDescent="0.3">
      <c r="AX514" s="240"/>
      <c r="AY514" s="144"/>
      <c r="AZ514" s="278"/>
      <c r="BA514" s="207"/>
      <c r="BK514" s="135"/>
      <c r="BL514" s="135"/>
    </row>
    <row r="515" spans="50:64" ht="18.75" hidden="1" x14ac:dyDescent="0.3">
      <c r="AX515" s="240"/>
      <c r="AY515" s="144"/>
      <c r="AZ515" s="278"/>
      <c r="BA515" s="207"/>
      <c r="BK515" s="135"/>
      <c r="BL515" s="135"/>
    </row>
    <row r="516" spans="50:64" ht="18.75" hidden="1" x14ac:dyDescent="0.3">
      <c r="AX516" s="240"/>
      <c r="AY516" s="144"/>
      <c r="AZ516" s="278"/>
      <c r="BA516" s="207"/>
      <c r="BK516" s="135"/>
      <c r="BL516" s="135"/>
    </row>
    <row r="517" spans="50:64" ht="18.75" hidden="1" x14ac:dyDescent="0.3">
      <c r="AX517" s="240"/>
      <c r="AY517" s="144"/>
      <c r="AZ517" s="278"/>
      <c r="BA517" s="207"/>
      <c r="BK517" s="135"/>
      <c r="BL517" s="135"/>
    </row>
    <row r="518" spans="50:64" ht="18.75" hidden="1" x14ac:dyDescent="0.3">
      <c r="AX518" s="240"/>
      <c r="AY518" s="144"/>
      <c r="AZ518" s="278"/>
      <c r="BA518" s="207"/>
      <c r="BK518" s="135"/>
      <c r="BL518" s="135"/>
    </row>
    <row r="519" spans="50:64" ht="18.75" hidden="1" x14ac:dyDescent="0.3">
      <c r="AX519" s="240"/>
      <c r="AY519" s="144"/>
      <c r="AZ519" s="278"/>
      <c r="BA519" s="207"/>
      <c r="BK519" s="135"/>
      <c r="BL519" s="135"/>
    </row>
    <row r="520" spans="50:64" ht="18.75" hidden="1" x14ac:dyDescent="0.3">
      <c r="AX520" s="240"/>
      <c r="AY520" s="144"/>
      <c r="AZ520" s="278"/>
      <c r="BA520" s="207"/>
      <c r="BK520" s="135"/>
      <c r="BL520" s="135"/>
    </row>
    <row r="521" spans="50:64" ht="18.75" hidden="1" x14ac:dyDescent="0.3">
      <c r="AX521" s="240"/>
      <c r="AY521" s="144"/>
      <c r="AZ521" s="278"/>
      <c r="BA521" s="207"/>
      <c r="BK521" s="135"/>
      <c r="BL521" s="135"/>
    </row>
    <row r="522" spans="50:64" ht="18.75" hidden="1" x14ac:dyDescent="0.3">
      <c r="AX522" s="240"/>
      <c r="AY522" s="144"/>
      <c r="AZ522" s="278"/>
      <c r="BA522" s="207"/>
      <c r="BK522" s="135"/>
      <c r="BL522" s="135"/>
    </row>
    <row r="523" spans="50:64" ht="18.75" hidden="1" x14ac:dyDescent="0.3">
      <c r="AX523" s="240"/>
      <c r="AY523" s="144"/>
      <c r="AZ523" s="278"/>
      <c r="BA523" s="207"/>
      <c r="BK523" s="135"/>
      <c r="BL523" s="135"/>
    </row>
    <row r="524" spans="50:64" ht="18.75" hidden="1" x14ac:dyDescent="0.3">
      <c r="AX524" s="240"/>
      <c r="AY524" s="144"/>
      <c r="AZ524" s="278"/>
      <c r="BA524" s="207"/>
      <c r="BK524" s="135"/>
      <c r="BL524" s="135"/>
    </row>
    <row r="525" spans="50:64" ht="18.75" hidden="1" x14ac:dyDescent="0.3">
      <c r="AX525" s="240"/>
      <c r="AY525" s="144"/>
      <c r="AZ525" s="278"/>
      <c r="BA525" s="207"/>
      <c r="BK525" s="135"/>
      <c r="BL525" s="135"/>
    </row>
    <row r="526" spans="50:64" ht="18.75" hidden="1" x14ac:dyDescent="0.3">
      <c r="AX526" s="240"/>
      <c r="AY526" s="144"/>
      <c r="AZ526" s="278"/>
      <c r="BA526" s="207"/>
      <c r="BK526" s="135"/>
      <c r="BL526" s="135"/>
    </row>
    <row r="527" spans="50:64" ht="18.75" hidden="1" x14ac:dyDescent="0.3">
      <c r="AX527" s="240"/>
      <c r="AY527" s="144"/>
      <c r="AZ527" s="278"/>
      <c r="BA527" s="207"/>
      <c r="BK527" s="135"/>
      <c r="BL527" s="135"/>
    </row>
    <row r="528" spans="50:64" ht="18.75" hidden="1" x14ac:dyDescent="0.3">
      <c r="AX528" s="240"/>
      <c r="AY528" s="144"/>
      <c r="AZ528" s="278"/>
      <c r="BA528" s="207"/>
      <c r="BK528" s="135"/>
      <c r="BL528" s="135"/>
    </row>
    <row r="529" spans="50:64" ht="18.75" hidden="1" x14ac:dyDescent="0.3">
      <c r="AX529" s="240"/>
      <c r="AY529" s="144"/>
      <c r="AZ529" s="278"/>
      <c r="BA529" s="207"/>
      <c r="BK529" s="135"/>
      <c r="BL529" s="135"/>
    </row>
    <row r="530" spans="50:64" ht="18.75" hidden="1" x14ac:dyDescent="0.3">
      <c r="AX530" s="240"/>
      <c r="AY530" s="144"/>
      <c r="AZ530" s="278"/>
      <c r="BA530" s="207"/>
      <c r="BK530" s="135"/>
      <c r="BL530" s="135"/>
    </row>
    <row r="531" spans="50:64" ht="18.75" hidden="1" x14ac:dyDescent="0.3">
      <c r="AX531" s="240"/>
      <c r="AY531" s="144"/>
      <c r="AZ531" s="278"/>
      <c r="BA531" s="207"/>
      <c r="BK531" s="135"/>
      <c r="BL531" s="135"/>
    </row>
    <row r="532" spans="50:64" ht="18.75" hidden="1" x14ac:dyDescent="0.3">
      <c r="AX532" s="240"/>
      <c r="AY532" s="144"/>
      <c r="AZ532" s="278"/>
      <c r="BA532" s="207"/>
      <c r="BK532" s="135"/>
      <c r="BL532" s="135"/>
    </row>
    <row r="533" spans="50:64" ht="18.75" hidden="1" x14ac:dyDescent="0.3">
      <c r="AX533" s="240"/>
      <c r="AY533" s="144"/>
      <c r="AZ533" s="278"/>
      <c r="BA533" s="207"/>
      <c r="BK533" s="135"/>
      <c r="BL533" s="135"/>
    </row>
    <row r="534" spans="50:64" ht="18.75" hidden="1" x14ac:dyDescent="0.3">
      <c r="AX534" s="240"/>
      <c r="AY534" s="144"/>
      <c r="AZ534" s="278"/>
      <c r="BA534" s="207"/>
      <c r="BK534" s="135"/>
      <c r="BL534" s="135"/>
    </row>
    <row r="535" spans="50:64" ht="18.75" hidden="1" x14ac:dyDescent="0.3">
      <c r="AX535" s="240"/>
      <c r="AY535" s="144"/>
      <c r="AZ535" s="278"/>
      <c r="BA535" s="207"/>
      <c r="BK535" s="135"/>
      <c r="BL535" s="135"/>
    </row>
    <row r="536" spans="50:64" ht="18.75" hidden="1" x14ac:dyDescent="0.3">
      <c r="AX536" s="240"/>
      <c r="AY536" s="144"/>
      <c r="AZ536" s="278"/>
      <c r="BA536" s="207"/>
      <c r="BK536" s="135"/>
      <c r="BL536" s="135"/>
    </row>
    <row r="537" spans="50:64" ht="18.75" hidden="1" x14ac:dyDescent="0.3">
      <c r="AX537" s="240"/>
      <c r="AY537" s="144"/>
      <c r="AZ537" s="278"/>
      <c r="BA537" s="207"/>
      <c r="BK537" s="135"/>
      <c r="BL537" s="135"/>
    </row>
    <row r="538" spans="50:64" ht="18.75" hidden="1" x14ac:dyDescent="0.3">
      <c r="AX538" s="240"/>
      <c r="AY538" s="144"/>
      <c r="AZ538" s="278"/>
      <c r="BA538" s="207"/>
      <c r="BK538" s="135"/>
      <c r="BL538" s="135"/>
    </row>
    <row r="539" spans="50:64" ht="18.75" hidden="1" x14ac:dyDescent="0.3">
      <c r="AX539" s="240"/>
      <c r="AY539" s="144"/>
      <c r="AZ539" s="278"/>
      <c r="BA539" s="207"/>
      <c r="BK539" s="135"/>
      <c r="BL539" s="135"/>
    </row>
    <row r="540" spans="50:64" ht="18.75" hidden="1" x14ac:dyDescent="0.3">
      <c r="AX540" s="240"/>
      <c r="AY540" s="144"/>
      <c r="AZ540" s="278"/>
      <c r="BA540" s="207"/>
      <c r="BK540" s="135"/>
      <c r="BL540" s="135"/>
    </row>
    <row r="541" spans="50:64" ht="18.75" hidden="1" x14ac:dyDescent="0.3">
      <c r="AX541" s="240"/>
      <c r="AY541" s="144"/>
      <c r="AZ541" s="278"/>
      <c r="BA541" s="207"/>
      <c r="BK541" s="135"/>
      <c r="BL541" s="135"/>
    </row>
    <row r="542" spans="50:64" ht="18.75" hidden="1" x14ac:dyDescent="0.3">
      <c r="AX542" s="240"/>
      <c r="AY542" s="144"/>
      <c r="AZ542" s="278"/>
      <c r="BA542" s="207"/>
      <c r="BK542" s="135"/>
      <c r="BL542" s="135"/>
    </row>
    <row r="543" spans="50:64" ht="18.75" hidden="1" x14ac:dyDescent="0.3">
      <c r="AX543" s="240"/>
      <c r="AY543" s="144"/>
      <c r="AZ543" s="278"/>
      <c r="BA543" s="207"/>
      <c r="BK543" s="135"/>
      <c r="BL543" s="135"/>
    </row>
    <row r="544" spans="50:64" ht="18.75" hidden="1" x14ac:dyDescent="0.3">
      <c r="AX544" s="240"/>
      <c r="AY544" s="144"/>
      <c r="AZ544" s="278"/>
      <c r="BA544" s="207"/>
      <c r="BK544" s="135"/>
      <c r="BL544" s="135"/>
    </row>
    <row r="545" spans="50:64" ht="18.75" hidden="1" x14ac:dyDescent="0.3">
      <c r="AX545" s="240"/>
      <c r="AY545" s="144"/>
      <c r="AZ545" s="278"/>
      <c r="BA545" s="207"/>
      <c r="BK545" s="135"/>
      <c r="BL545" s="135"/>
    </row>
    <row r="546" spans="50:64" ht="18.75" hidden="1" x14ac:dyDescent="0.3">
      <c r="AX546" s="240"/>
      <c r="AY546" s="144"/>
      <c r="AZ546" s="278"/>
      <c r="BA546" s="207"/>
      <c r="BK546" s="135"/>
      <c r="BL546" s="135"/>
    </row>
    <row r="547" spans="50:64" ht="18.75" hidden="1" x14ac:dyDescent="0.3">
      <c r="AX547" s="240"/>
      <c r="AY547" s="144"/>
      <c r="AZ547" s="278"/>
      <c r="BA547" s="207"/>
      <c r="BK547" s="135"/>
      <c r="BL547" s="135"/>
    </row>
    <row r="548" spans="50:64" ht="18.75" hidden="1" x14ac:dyDescent="0.3">
      <c r="AX548" s="240"/>
      <c r="AY548" s="144"/>
      <c r="AZ548" s="278"/>
      <c r="BA548" s="207"/>
      <c r="BK548" s="135"/>
      <c r="BL548" s="135"/>
    </row>
    <row r="549" spans="50:64" ht="18.75" hidden="1" x14ac:dyDescent="0.3">
      <c r="AX549" s="240"/>
      <c r="AY549" s="144"/>
      <c r="AZ549" s="278"/>
      <c r="BA549" s="207"/>
      <c r="BK549" s="135"/>
      <c r="BL549" s="135"/>
    </row>
    <row r="550" spans="50:64" ht="18.75" hidden="1" x14ac:dyDescent="0.3">
      <c r="AX550" s="240"/>
      <c r="AY550" s="144"/>
      <c r="AZ550" s="278"/>
      <c r="BA550" s="207"/>
      <c r="BK550" s="135"/>
      <c r="BL550" s="135"/>
    </row>
    <row r="551" spans="50:64" ht="18.75" hidden="1" x14ac:dyDescent="0.3">
      <c r="AX551" s="240"/>
      <c r="AY551" s="144"/>
      <c r="AZ551" s="278"/>
      <c r="BA551" s="207"/>
      <c r="BK551" s="135"/>
      <c r="BL551" s="135"/>
    </row>
    <row r="552" spans="50:64" ht="18.75" hidden="1" x14ac:dyDescent="0.3">
      <c r="AX552" s="240"/>
      <c r="AY552" s="144"/>
      <c r="AZ552" s="278"/>
      <c r="BA552" s="207"/>
      <c r="BK552" s="135"/>
      <c r="BL552" s="135"/>
    </row>
    <row r="553" spans="50:64" ht="18.75" hidden="1" x14ac:dyDescent="0.3">
      <c r="AX553" s="240"/>
      <c r="AY553" s="144"/>
      <c r="AZ553" s="278"/>
      <c r="BA553" s="207"/>
      <c r="BK553" s="135"/>
      <c r="BL553" s="135"/>
    </row>
    <row r="554" spans="50:64" ht="18.75" hidden="1" x14ac:dyDescent="0.3">
      <c r="AX554" s="240"/>
      <c r="AY554" s="144"/>
      <c r="AZ554" s="278"/>
      <c r="BA554" s="207"/>
      <c r="BK554" s="135"/>
      <c r="BL554" s="135"/>
    </row>
    <row r="555" spans="50:64" ht="18.75" hidden="1" x14ac:dyDescent="0.3">
      <c r="AX555" s="240"/>
      <c r="AY555" s="144"/>
      <c r="AZ555" s="278"/>
      <c r="BA555" s="207"/>
      <c r="BK555" s="135"/>
      <c r="BL555" s="135"/>
    </row>
    <row r="556" spans="50:64" ht="18.75" hidden="1" x14ac:dyDescent="0.3">
      <c r="AX556" s="240"/>
      <c r="AY556" s="144"/>
      <c r="AZ556" s="278"/>
      <c r="BA556" s="207"/>
      <c r="BK556" s="135"/>
      <c r="BL556" s="135"/>
    </row>
    <row r="557" spans="50:64" ht="18.75" hidden="1" x14ac:dyDescent="0.3">
      <c r="AX557" s="240"/>
      <c r="AY557" s="144"/>
      <c r="AZ557" s="278"/>
      <c r="BA557" s="207"/>
      <c r="BK557" s="135"/>
      <c r="BL557" s="135"/>
    </row>
    <row r="558" spans="50:64" ht="18.75" hidden="1" x14ac:dyDescent="0.3">
      <c r="AX558" s="240"/>
      <c r="AY558" s="144"/>
      <c r="AZ558" s="278"/>
      <c r="BA558" s="207">
        <v>31.96</v>
      </c>
      <c r="BK558" s="135"/>
      <c r="BL558" s="135"/>
    </row>
    <row r="559" spans="50:64" ht="18.75" hidden="1" x14ac:dyDescent="0.3">
      <c r="AX559" s="240"/>
      <c r="AY559" s="144"/>
      <c r="AZ559" s="278"/>
      <c r="BA559" s="207">
        <v>34.369999999999997</v>
      </c>
      <c r="BK559" s="135"/>
      <c r="BL559" s="135"/>
    </row>
    <row r="560" spans="50:64" ht="18.75" hidden="1" x14ac:dyDescent="0.3">
      <c r="AX560" s="240"/>
      <c r="AY560" s="144"/>
      <c r="AZ560" s="278"/>
      <c r="BA560" s="207"/>
      <c r="BK560" s="135"/>
      <c r="BL560" s="135"/>
    </row>
    <row r="561" spans="50:64" ht="18.75" hidden="1" x14ac:dyDescent="0.3">
      <c r="AX561" s="240"/>
      <c r="AY561" s="144"/>
      <c r="AZ561" s="278"/>
      <c r="BA561" s="207">
        <v>28.7</v>
      </c>
      <c r="BK561" s="135"/>
      <c r="BL561" s="135"/>
    </row>
    <row r="562" spans="50:64" ht="18.75" hidden="1" x14ac:dyDescent="0.3">
      <c r="AX562" s="240"/>
      <c r="AY562" s="144"/>
      <c r="AZ562" s="278"/>
      <c r="BA562" s="207"/>
      <c r="BK562" s="135"/>
      <c r="BL562" s="135"/>
    </row>
    <row r="563" spans="50:64" ht="18.75" hidden="1" x14ac:dyDescent="0.3">
      <c r="AX563" s="240"/>
      <c r="AY563" s="144"/>
      <c r="AZ563" s="278"/>
      <c r="BA563" s="207"/>
      <c r="BB563" s="156"/>
      <c r="BK563" s="135"/>
      <c r="BL563" s="135"/>
    </row>
    <row r="564" spans="50:64" ht="18.75" hidden="1" x14ac:dyDescent="0.3">
      <c r="AX564" s="240"/>
      <c r="AY564" s="144"/>
      <c r="AZ564" s="278"/>
      <c r="BA564" s="207"/>
      <c r="BK564" s="135"/>
      <c r="BL564" s="135"/>
    </row>
    <row r="565" spans="50:64" ht="18.75" hidden="1" x14ac:dyDescent="0.3">
      <c r="AX565" s="240"/>
      <c r="AY565" s="144"/>
      <c r="AZ565" s="278"/>
      <c r="BA565" s="207"/>
      <c r="BK565" s="135"/>
      <c r="BL565" s="135"/>
    </row>
    <row r="566" spans="50:64" ht="18.75" hidden="1" x14ac:dyDescent="0.3">
      <c r="AX566" s="240"/>
      <c r="AY566" s="144"/>
      <c r="AZ566" s="278"/>
      <c r="BA566" s="207"/>
      <c r="BK566" s="135"/>
      <c r="BL566" s="135"/>
    </row>
    <row r="567" spans="50:64" ht="18.75" hidden="1" x14ac:dyDescent="0.3">
      <c r="AX567" s="240"/>
      <c r="AY567" s="144"/>
      <c r="AZ567" s="278"/>
      <c r="BA567" s="207"/>
      <c r="BK567" s="135"/>
      <c r="BL567" s="135"/>
    </row>
    <row r="568" spans="50:64" ht="18.75" hidden="1" x14ac:dyDescent="0.3">
      <c r="AX568" s="240"/>
      <c r="AY568" s="144"/>
      <c r="AZ568" s="278"/>
      <c r="BA568" s="207"/>
      <c r="BK568" s="135"/>
      <c r="BL568" s="135"/>
    </row>
    <row r="569" spans="50:64" ht="18.75" hidden="1" x14ac:dyDescent="0.3">
      <c r="AX569" s="240"/>
      <c r="AY569" s="144"/>
      <c r="AZ569" s="278"/>
      <c r="BA569" s="207"/>
      <c r="BK569" s="135"/>
      <c r="BL569" s="135"/>
    </row>
    <row r="570" spans="50:64" ht="18.75" hidden="1" x14ac:dyDescent="0.3">
      <c r="AX570" s="240"/>
      <c r="AY570" s="144"/>
      <c r="AZ570" s="278"/>
      <c r="BA570" s="207"/>
      <c r="BK570" s="135"/>
      <c r="BL570" s="135"/>
    </row>
    <row r="571" spans="50:64" ht="18.75" hidden="1" x14ac:dyDescent="0.3">
      <c r="AX571" s="240"/>
      <c r="AY571" s="144"/>
      <c r="AZ571" s="278"/>
      <c r="BA571" s="207"/>
      <c r="BK571" s="135"/>
      <c r="BL571" s="135"/>
    </row>
    <row r="572" spans="50:64" ht="18.75" hidden="1" x14ac:dyDescent="0.3">
      <c r="AX572" s="240"/>
      <c r="AY572" s="144"/>
      <c r="AZ572" s="278"/>
      <c r="BA572" s="207"/>
      <c r="BK572" s="135"/>
      <c r="BL572" s="135"/>
    </row>
    <row r="573" spans="50:64" ht="18.75" hidden="1" x14ac:dyDescent="0.3">
      <c r="AX573" s="240"/>
      <c r="AY573" s="144"/>
      <c r="AZ573" s="278"/>
      <c r="BA573" s="207"/>
      <c r="BK573" s="135"/>
      <c r="BL573" s="135"/>
    </row>
    <row r="574" spans="50:64" ht="18.75" hidden="1" x14ac:dyDescent="0.3">
      <c r="AX574" s="240"/>
      <c r="AY574" s="144"/>
      <c r="AZ574" s="278"/>
      <c r="BA574" s="207"/>
      <c r="BK574" s="135"/>
      <c r="BL574" s="135"/>
    </row>
    <row r="575" spans="50:64" ht="18.75" hidden="1" x14ac:dyDescent="0.3">
      <c r="AX575" s="240"/>
      <c r="AY575" s="144"/>
      <c r="AZ575" s="278"/>
      <c r="BA575" s="207"/>
      <c r="BK575" s="135"/>
      <c r="BL575" s="135"/>
    </row>
    <row r="576" spans="50:64" ht="18.75" hidden="1" x14ac:dyDescent="0.3">
      <c r="AX576" s="240"/>
      <c r="AY576" s="144"/>
      <c r="AZ576" s="278"/>
      <c r="BA576" s="207"/>
      <c r="BK576" s="135"/>
      <c r="BL576" s="135"/>
    </row>
    <row r="577" spans="50:64" ht="18.75" hidden="1" x14ac:dyDescent="0.3">
      <c r="AX577" s="240"/>
      <c r="AY577" s="144"/>
      <c r="AZ577" s="278"/>
      <c r="BA577" s="207"/>
      <c r="BK577" s="135"/>
      <c r="BL577" s="135"/>
    </row>
    <row r="578" spans="50:64" ht="18.75" hidden="1" x14ac:dyDescent="0.3">
      <c r="AX578" s="240"/>
      <c r="AY578" s="144"/>
      <c r="AZ578" s="278"/>
      <c r="BA578" s="207"/>
      <c r="BK578" s="135"/>
      <c r="BL578" s="135"/>
    </row>
    <row r="579" spans="50:64" ht="18.75" hidden="1" x14ac:dyDescent="0.3">
      <c r="AX579" s="240"/>
      <c r="AY579" s="144"/>
      <c r="AZ579" s="278"/>
      <c r="BA579" s="207"/>
      <c r="BK579" s="135"/>
      <c r="BL579" s="135"/>
    </row>
    <row r="580" spans="50:64" ht="18.75" hidden="1" x14ac:dyDescent="0.3">
      <c r="AX580" s="240"/>
      <c r="AY580" s="144"/>
      <c r="AZ580" s="278"/>
      <c r="BA580" s="207"/>
      <c r="BK580" s="135"/>
      <c r="BL580" s="135"/>
    </row>
    <row r="581" spans="50:64" ht="18.75" hidden="1" x14ac:dyDescent="0.3">
      <c r="BA581" s="207"/>
      <c r="BK581" s="135"/>
      <c r="BL581" s="135"/>
    </row>
    <row r="582" spans="50:64" ht="18.75" hidden="1" x14ac:dyDescent="0.3">
      <c r="BA582" s="207"/>
      <c r="BK582" s="135"/>
      <c r="BL582" s="135"/>
    </row>
    <row r="583" spans="50:64" ht="18.75" hidden="1" x14ac:dyDescent="0.3">
      <c r="BA583" s="207"/>
      <c r="BK583" s="135"/>
      <c r="BL583" s="135"/>
    </row>
    <row r="584" spans="50:64" ht="18.75" hidden="1" x14ac:dyDescent="0.3">
      <c r="BA584" s="207"/>
      <c r="BK584" s="135"/>
      <c r="BL584" s="135"/>
    </row>
    <row r="585" spans="50:64" ht="18.75" hidden="1" x14ac:dyDescent="0.3">
      <c r="BA585" s="207"/>
      <c r="BK585" s="135"/>
      <c r="BL585" s="135"/>
    </row>
    <row r="586" spans="50:64" ht="18.75" hidden="1" x14ac:dyDescent="0.3">
      <c r="BA586" s="207"/>
      <c r="BK586" s="135"/>
      <c r="BL586" s="135"/>
    </row>
    <row r="587" spans="50:64" ht="18.75" hidden="1" x14ac:dyDescent="0.3">
      <c r="BA587" s="207"/>
      <c r="BK587" s="135"/>
      <c r="BL587" s="135"/>
    </row>
    <row r="588" spans="50:64" ht="18.75" hidden="1" x14ac:dyDescent="0.3">
      <c r="BA588" s="207"/>
      <c r="BK588" s="135"/>
      <c r="BL588" s="135"/>
    </row>
    <row r="589" spans="50:64" ht="18.75" hidden="1" x14ac:dyDescent="0.3">
      <c r="BA589" s="207"/>
      <c r="BK589" s="135"/>
      <c r="BL589" s="135"/>
    </row>
    <row r="590" spans="50:64" ht="18.75" hidden="1" x14ac:dyDescent="0.3">
      <c r="BA590" s="207"/>
      <c r="BK590" s="135"/>
      <c r="BL590" s="135"/>
    </row>
    <row r="591" spans="50:64" ht="18.75" hidden="1" x14ac:dyDescent="0.3">
      <c r="BA591" s="207"/>
      <c r="BK591" s="135"/>
      <c r="BL591" s="135"/>
    </row>
    <row r="592" spans="50:64" ht="18.75" hidden="1" x14ac:dyDescent="0.3">
      <c r="BA592" s="207"/>
      <c r="BK592" s="135"/>
      <c r="BL592" s="135"/>
    </row>
    <row r="593" spans="53:64" ht="18.75" hidden="1" x14ac:dyDescent="0.3">
      <c r="BA593" s="207"/>
      <c r="BK593" s="135"/>
      <c r="BL593" s="135"/>
    </row>
    <row r="594" spans="53:64" ht="18.75" hidden="1" x14ac:dyDescent="0.3">
      <c r="BA594" s="207"/>
    </row>
    <row r="595" spans="53:64" ht="18.75" hidden="1" x14ac:dyDescent="0.3">
      <c r="BA595" s="207"/>
    </row>
    <row r="596" spans="53:64" ht="18.75" hidden="1" x14ac:dyDescent="0.3">
      <c r="BA596" s="207"/>
    </row>
    <row r="597" spans="53:64" ht="18.75" hidden="1" x14ac:dyDescent="0.3">
      <c r="BA597" s="207"/>
    </row>
    <row r="598" spans="53:64" ht="18.75" hidden="1" x14ac:dyDescent="0.3">
      <c r="BA598" s="207"/>
    </row>
    <row r="599" spans="53:64" ht="18.75" hidden="1" x14ac:dyDescent="0.3"/>
    <row r="600" spans="53:64" ht="18.75" hidden="1" x14ac:dyDescent="0.3"/>
    <row r="601" spans="53:64" ht="18.75" hidden="1" x14ac:dyDescent="0.3"/>
    <row r="602" spans="53:64" ht="0" hidden="1" customHeight="1" x14ac:dyDescent="0.3"/>
  </sheetData>
  <sheetProtection algorithmName="SHA-512" hashValue="aknKjchPaAqlu+qVBXNW/fvxPL/l+4DFdQVnXkop44Y6HY6IwziN1nkpLasKHL9jvHbSio/AZTe187dtf6VSAw==" saltValue="mc7H1VytHhleTaoSnb8ehg==" spinCount="100000" sheet="1" selectLockedCells="1"/>
  <protectedRanges>
    <protectedRange sqref="M8" name="Bereik2_1"/>
    <protectedRange sqref="G8 G10 G12 M10 M8 G15 D18:F31 B18:B31" name="Bereik1_1"/>
  </protectedRanges>
  <dataConsolidate/>
  <mergeCells count="47">
    <mergeCell ref="J100:K100"/>
    <mergeCell ref="L28:M28"/>
    <mergeCell ref="L29:M29"/>
    <mergeCell ref="L30:M30"/>
    <mergeCell ref="L31:M31"/>
    <mergeCell ref="L32:M32"/>
    <mergeCell ref="L33:M33"/>
    <mergeCell ref="L34:M34"/>
    <mergeCell ref="L35:M35"/>
    <mergeCell ref="L36:M36"/>
    <mergeCell ref="L37:M37"/>
    <mergeCell ref="L38:M38"/>
    <mergeCell ref="J95:K95"/>
    <mergeCell ref="J96:K96"/>
    <mergeCell ref="J97:K97"/>
    <mergeCell ref="J98:K98"/>
    <mergeCell ref="BD2:BJ2"/>
    <mergeCell ref="M20:R20"/>
    <mergeCell ref="M19:R19"/>
    <mergeCell ref="O12:S12"/>
    <mergeCell ref="O10:R11"/>
    <mergeCell ref="AC2:AM6"/>
    <mergeCell ref="V2:AA6"/>
    <mergeCell ref="AB2:AB6"/>
    <mergeCell ref="T2:U6"/>
    <mergeCell ref="P14:S17"/>
    <mergeCell ref="D42:F42"/>
    <mergeCell ref="D40:F40"/>
    <mergeCell ref="L41:M41"/>
    <mergeCell ref="L27:M27"/>
    <mergeCell ref="J99:K99"/>
    <mergeCell ref="L42:M42"/>
    <mergeCell ref="P28:R28"/>
    <mergeCell ref="P29:R29"/>
    <mergeCell ref="P30:R30"/>
    <mergeCell ref="H1:I1"/>
    <mergeCell ref="G8:H8"/>
    <mergeCell ref="G16:G17"/>
    <mergeCell ref="G10:H10"/>
    <mergeCell ref="G12:H12"/>
    <mergeCell ref="I9:L9"/>
    <mergeCell ref="G15:H15"/>
    <mergeCell ref="F5:H6"/>
    <mergeCell ref="I8:L8"/>
    <mergeCell ref="Q24:R24"/>
    <mergeCell ref="Q23:R23"/>
    <mergeCell ref="Q22:R22"/>
  </mergeCells>
  <conditionalFormatting sqref="O39 N28:N38">
    <cfRule type="expression" dxfId="129" priority="201">
      <formula>#REF!="ja"</formula>
    </cfRule>
  </conditionalFormatting>
  <conditionalFormatting sqref="Q22:R22 Q24">
    <cfRule type="expression" dxfId="128" priority="195">
      <formula>AND($R$21="ja",$M$5&lt;&gt;"financiële ruimte")</formula>
    </cfRule>
  </conditionalFormatting>
  <conditionalFormatting sqref="Q23">
    <cfRule type="expression" dxfId="127" priority="194">
      <formula>AND($R$21="ja",$M$5&lt;&gt;"financiële ruimte")</formula>
    </cfRule>
  </conditionalFormatting>
  <conditionalFormatting sqref="L22:N24">
    <cfRule type="expression" dxfId="126" priority="193">
      <formula>$R$21="ja"</formula>
    </cfRule>
  </conditionalFormatting>
  <conditionalFormatting sqref="L21">
    <cfRule type="expression" dxfId="125" priority="208">
      <formula>$M$20="niet akkoord"</formula>
    </cfRule>
  </conditionalFormatting>
  <conditionalFormatting sqref="T19">
    <cfRule type="expression" dxfId="124" priority="180">
      <formula>$I$33&gt;0</formula>
    </cfRule>
  </conditionalFormatting>
  <conditionalFormatting sqref="M14">
    <cfRule type="expression" dxfId="123" priority="179">
      <formula>$I$33&gt;0</formula>
    </cfRule>
  </conditionalFormatting>
  <conditionalFormatting sqref="M25">
    <cfRule type="expression" dxfId="122" priority="171">
      <formula>$Q$22="Ja; ouder met kind jonger dan 18 die thuis woont"</formula>
    </cfRule>
    <cfRule type="expression" dxfId="121" priority="175">
      <formula>$Q$22="ja; sprake van betaalde arbeid"</formula>
    </cfRule>
    <cfRule type="expression" dxfId="120" priority="176">
      <formula>$Q$22="ja; opgroeiend kind thuis jonger dan 23 jaar"</formula>
    </cfRule>
  </conditionalFormatting>
  <conditionalFormatting sqref="D40:F41">
    <cfRule type="expression" dxfId="119" priority="166">
      <formula>$AA$32=2</formula>
    </cfRule>
  </conditionalFormatting>
  <conditionalFormatting sqref="D42:F42 U56:V56">
    <cfRule type="expression" dxfId="118" priority="163">
      <formula>$AB$34=5</formula>
    </cfRule>
    <cfRule type="expression" dxfId="117" priority="164">
      <formula>$AB$34=4</formula>
    </cfRule>
    <cfRule type="expression" dxfId="116" priority="165">
      <formula>$AB$34=6</formula>
    </cfRule>
  </conditionalFormatting>
  <conditionalFormatting sqref="O12">
    <cfRule type="expression" dxfId="115" priority="158">
      <formula>$Q$24="meerzorg"</formula>
    </cfRule>
  </conditionalFormatting>
  <conditionalFormatting sqref="D46">
    <cfRule type="expression" dxfId="114" priority="151">
      <formula>$L$41=1</formula>
    </cfRule>
  </conditionalFormatting>
  <conditionalFormatting sqref="G13:K13 I14:K15 B15 G14:H14">
    <cfRule type="expression" dxfId="113" priority="211">
      <formula>$G$12="ja"</formula>
    </cfRule>
  </conditionalFormatting>
  <conditionalFormatting sqref="I9:L9">
    <cfRule type="expression" dxfId="112" priority="215">
      <formula>$M$8&gt;0</formula>
    </cfRule>
    <cfRule type="expression" dxfId="111" priority="216">
      <formula>$G$12="ja"</formula>
    </cfRule>
  </conditionalFormatting>
  <conditionalFormatting sqref="N28">
    <cfRule type="expression" dxfId="110" priority="145">
      <formula>$N$28=0</formula>
    </cfRule>
  </conditionalFormatting>
  <conditionalFormatting sqref="N29">
    <cfRule type="expression" dxfId="109" priority="144">
      <formula>$N$29=0</formula>
    </cfRule>
  </conditionalFormatting>
  <conditionalFormatting sqref="N30">
    <cfRule type="expression" dxfId="108" priority="129">
      <formula>$L$30=0</formula>
    </cfRule>
    <cfRule type="expression" dxfId="107" priority="130">
      <formula>$L$30=""</formula>
    </cfRule>
    <cfRule type="expression" dxfId="106" priority="143">
      <formula>$N$30=0</formula>
    </cfRule>
  </conditionalFormatting>
  <conditionalFormatting sqref="N31">
    <cfRule type="expression" dxfId="105" priority="142">
      <formula>$N$31=0</formula>
    </cfRule>
  </conditionalFormatting>
  <conditionalFormatting sqref="N32">
    <cfRule type="expression" dxfId="104" priority="141">
      <formula>$N$32=0</formula>
    </cfRule>
  </conditionalFormatting>
  <conditionalFormatting sqref="N33">
    <cfRule type="expression" dxfId="103" priority="140">
      <formula>$N$33=0</formula>
    </cfRule>
  </conditionalFormatting>
  <conditionalFormatting sqref="N34">
    <cfRule type="expression" dxfId="102" priority="139">
      <formula>$N$34=0</formula>
    </cfRule>
  </conditionalFormatting>
  <conditionalFormatting sqref="K18:K32">
    <cfRule type="expression" dxfId="101" priority="125">
      <formula>$F$18=0</formula>
    </cfRule>
  </conditionalFormatting>
  <conditionalFormatting sqref="K17">
    <cfRule type="expression" dxfId="100" priority="110">
      <formula>$F$18=0</formula>
    </cfRule>
  </conditionalFormatting>
  <conditionalFormatting sqref="I33:I34">
    <cfRule type="expression" dxfId="99" priority="109">
      <formula>$M$5&lt;&gt;"extramurale ruimte"</formula>
    </cfRule>
  </conditionalFormatting>
  <conditionalFormatting sqref="M22:N24">
    <cfRule type="expression" dxfId="98" priority="108">
      <formula>$M$5="financiële ruimte"</formula>
    </cfRule>
  </conditionalFormatting>
  <conditionalFormatting sqref="P14">
    <cfRule type="expression" dxfId="97" priority="105">
      <formula>AND($M$5="financiële ruimte",$R$21="ja")</formula>
    </cfRule>
  </conditionalFormatting>
  <conditionalFormatting sqref="L29:M29">
    <cfRule type="expression" dxfId="96" priority="104">
      <formula>$L$29=0</formula>
    </cfRule>
  </conditionalFormatting>
  <conditionalFormatting sqref="L28:M28">
    <cfRule type="expression" dxfId="95" priority="103">
      <formula>$L$28=0</formula>
    </cfRule>
  </conditionalFormatting>
  <conditionalFormatting sqref="L30:M30">
    <cfRule type="expression" dxfId="94" priority="102">
      <formula>$L$30=0</formula>
    </cfRule>
  </conditionalFormatting>
  <conditionalFormatting sqref="Q22:R24">
    <cfRule type="expression" dxfId="93" priority="101" stopIfTrue="1">
      <formula>"en($M$5=""financiële ruimte"";$R$21=""ja"")"</formula>
    </cfRule>
  </conditionalFormatting>
  <conditionalFormatting sqref="M9 M11">
    <cfRule type="expression" dxfId="92" priority="100">
      <formula>$M$5="extramurale ruimte"</formula>
    </cfRule>
  </conditionalFormatting>
  <conditionalFormatting sqref="M10 M12">
    <cfRule type="expression" dxfId="91" priority="99">
      <formula>$M$5="extramurale ruimte"</formula>
    </cfRule>
  </conditionalFormatting>
  <conditionalFormatting sqref="K19">
    <cfRule type="expression" dxfId="90" priority="98">
      <formula>$K$19=0</formula>
    </cfRule>
  </conditionalFormatting>
  <conditionalFormatting sqref="K20">
    <cfRule type="expression" dxfId="89" priority="97">
      <formula>$K$20=0</formula>
    </cfRule>
  </conditionalFormatting>
  <conditionalFormatting sqref="K21">
    <cfRule type="expression" dxfId="88" priority="96">
      <formula>$K$21=0</formula>
    </cfRule>
  </conditionalFormatting>
  <conditionalFormatting sqref="K22">
    <cfRule type="expression" dxfId="87" priority="95">
      <formula>$K$22=0</formula>
    </cfRule>
  </conditionalFormatting>
  <conditionalFormatting sqref="K23">
    <cfRule type="expression" dxfId="86" priority="94">
      <formula>$K$23=0</formula>
    </cfRule>
  </conditionalFormatting>
  <conditionalFormatting sqref="K24">
    <cfRule type="expression" dxfId="85" priority="93">
      <formula>$K$24=0</formula>
    </cfRule>
  </conditionalFormatting>
  <conditionalFormatting sqref="K25">
    <cfRule type="expression" dxfId="84" priority="92">
      <formula>$K$25=0</formula>
    </cfRule>
  </conditionalFormatting>
  <conditionalFormatting sqref="K26">
    <cfRule type="expression" dxfId="83" priority="91">
      <formula>$K$26=0</formula>
    </cfRule>
  </conditionalFormatting>
  <conditionalFormatting sqref="H27:K27">
    <cfRule type="expression" dxfId="82" priority="90">
      <formula>$K$27=0</formula>
    </cfRule>
  </conditionalFormatting>
  <conditionalFormatting sqref="H28:K28">
    <cfRule type="expression" dxfId="81" priority="89">
      <formula>$K$28=0</formula>
    </cfRule>
  </conditionalFormatting>
  <conditionalFormatting sqref="H29:K29">
    <cfRule type="expression" dxfId="80" priority="88">
      <formula>$K$29=0</formula>
    </cfRule>
  </conditionalFormatting>
  <conditionalFormatting sqref="H30:K30">
    <cfRule type="expression" dxfId="79" priority="87">
      <formula>$K$30=0</formula>
    </cfRule>
  </conditionalFormatting>
  <conditionalFormatting sqref="H31:K31">
    <cfRule type="expression" dxfId="78" priority="86">
      <formula>$K$31=0</formula>
    </cfRule>
  </conditionalFormatting>
  <conditionalFormatting sqref="H26:I26">
    <cfRule type="expression" dxfId="77" priority="85">
      <formula>$K$26=0</formula>
    </cfRule>
  </conditionalFormatting>
  <conditionalFormatting sqref="H25:I25">
    <cfRule type="expression" dxfId="76" priority="84">
      <formula>$G$25=0</formula>
    </cfRule>
  </conditionalFormatting>
  <conditionalFormatting sqref="H24:I24">
    <cfRule type="expression" dxfId="75" priority="83">
      <formula>$G$24=0</formula>
    </cfRule>
  </conditionalFormatting>
  <conditionalFormatting sqref="H23:I23">
    <cfRule type="expression" dxfId="74" priority="82">
      <formula>$G$23=0</formula>
    </cfRule>
  </conditionalFormatting>
  <conditionalFormatting sqref="H22:I22">
    <cfRule type="expression" dxfId="73" priority="81">
      <formula>$G$22=0</formula>
    </cfRule>
  </conditionalFormatting>
  <conditionalFormatting sqref="H21:I21">
    <cfRule type="expression" dxfId="72" priority="80">
      <formula>$G$21=0</formula>
    </cfRule>
  </conditionalFormatting>
  <conditionalFormatting sqref="I19">
    <cfRule type="expression" dxfId="71" priority="78">
      <formula>$G$19=0</formula>
    </cfRule>
  </conditionalFormatting>
  <conditionalFormatting sqref="H18:I18">
    <cfRule type="expression" dxfId="70" priority="77">
      <formula>$G$18=0</formula>
    </cfRule>
  </conditionalFormatting>
  <conditionalFormatting sqref="G19">
    <cfRule type="expression" dxfId="69" priority="76">
      <formula>$G$19=0</formula>
    </cfRule>
  </conditionalFormatting>
  <conditionalFormatting sqref="G18">
    <cfRule type="expression" dxfId="68" priority="75">
      <formula>$G$18=0</formula>
    </cfRule>
  </conditionalFormatting>
  <conditionalFormatting sqref="G20">
    <cfRule type="expression" dxfId="67" priority="74">
      <formula>$G$20=0</formula>
    </cfRule>
  </conditionalFormatting>
  <conditionalFormatting sqref="G21">
    <cfRule type="expression" dxfId="66" priority="73">
      <formula>$G$21=0</formula>
    </cfRule>
  </conditionalFormatting>
  <conditionalFormatting sqref="G22">
    <cfRule type="expression" dxfId="65" priority="72">
      <formula>$G$22=0</formula>
    </cfRule>
  </conditionalFormatting>
  <conditionalFormatting sqref="G23">
    <cfRule type="expression" dxfId="64" priority="71">
      <formula>$G$23=0</formula>
    </cfRule>
  </conditionalFormatting>
  <conditionalFormatting sqref="G24">
    <cfRule type="expression" dxfId="63" priority="70">
      <formula>$G$24=0</formula>
    </cfRule>
  </conditionalFormatting>
  <conditionalFormatting sqref="G25">
    <cfRule type="expression" dxfId="62" priority="69">
      <formula>$G$25=0</formula>
    </cfRule>
  </conditionalFormatting>
  <conditionalFormatting sqref="G26">
    <cfRule type="expression" dxfId="61" priority="68">
      <formula>$G$26=0</formula>
    </cfRule>
  </conditionalFormatting>
  <conditionalFormatting sqref="G27">
    <cfRule type="expression" dxfId="60" priority="67">
      <formula>$G$27=0</formula>
    </cfRule>
  </conditionalFormatting>
  <conditionalFormatting sqref="G28">
    <cfRule type="expression" dxfId="59" priority="66">
      <formula>$G$28=0</formula>
    </cfRule>
  </conditionalFormatting>
  <conditionalFormatting sqref="G29">
    <cfRule type="expression" dxfId="58" priority="65">
      <formula>$G$29=0</formula>
    </cfRule>
  </conditionalFormatting>
  <conditionalFormatting sqref="G30">
    <cfRule type="expression" dxfId="57" priority="64">
      <formula>$G$30=0</formula>
    </cfRule>
  </conditionalFormatting>
  <conditionalFormatting sqref="G31">
    <cfRule type="expression" dxfId="56" priority="63">
      <formula>$G$31=0</formula>
    </cfRule>
  </conditionalFormatting>
  <conditionalFormatting sqref="L31:M31">
    <cfRule type="expression" dxfId="55" priority="62">
      <formula>$L$31=0</formula>
    </cfRule>
  </conditionalFormatting>
  <conditionalFormatting sqref="L32:M32">
    <cfRule type="expression" dxfId="54" priority="61">
      <formula>$L$32=0</formula>
    </cfRule>
  </conditionalFormatting>
  <conditionalFormatting sqref="L33:M33">
    <cfRule type="expression" dxfId="53" priority="60">
      <formula>$L$33=0</formula>
    </cfRule>
  </conditionalFormatting>
  <conditionalFormatting sqref="L34:M34">
    <cfRule type="expression" dxfId="52" priority="59">
      <formula>$L$34=0</formula>
    </cfRule>
  </conditionalFormatting>
  <conditionalFormatting sqref="L35:M35">
    <cfRule type="expression" dxfId="51" priority="58">
      <formula>$L$35=0</formula>
    </cfRule>
  </conditionalFormatting>
  <conditionalFormatting sqref="L36:M36">
    <cfRule type="expression" dxfId="50" priority="57">
      <formula>$L$36=0</formula>
    </cfRule>
  </conditionalFormatting>
  <conditionalFormatting sqref="L37:M37">
    <cfRule type="expression" dxfId="49" priority="56">
      <formula>$L$37=0</formula>
    </cfRule>
  </conditionalFormatting>
  <conditionalFormatting sqref="L38:M39">
    <cfRule type="expression" dxfId="48" priority="55">
      <formula>$L$38=0</formula>
    </cfRule>
  </conditionalFormatting>
  <conditionalFormatting sqref="I8:L8">
    <cfRule type="expression" dxfId="47" priority="54">
      <formula>$G$12="ja"</formula>
    </cfRule>
  </conditionalFormatting>
  <conditionalFormatting sqref="M8">
    <cfRule type="expression" dxfId="46" priority="53">
      <formula>$G$12="ja"</formula>
    </cfRule>
  </conditionalFormatting>
  <conditionalFormatting sqref="M15">
    <cfRule type="expression" dxfId="45" priority="52">
      <formula>$I$33&gt;0</formula>
    </cfRule>
  </conditionalFormatting>
  <conditionalFormatting sqref="N8">
    <cfRule type="expression" dxfId="44" priority="48">
      <formula>$M$8&gt;0</formula>
    </cfRule>
  </conditionalFormatting>
  <conditionalFormatting sqref="N17">
    <cfRule type="expression" dxfId="43" priority="49">
      <formula>$M$17&gt;0</formula>
    </cfRule>
  </conditionalFormatting>
  <conditionalFormatting sqref="R21">
    <cfRule type="expression" dxfId="42" priority="250">
      <formula>$M$20="PGB: Rekenmodule voorleggen aan Zorgkantoor"</formula>
    </cfRule>
    <cfRule type="expression" dxfId="41" priority="251">
      <formula>$T$23=3</formula>
    </cfRule>
    <cfRule type="expression" dxfId="40" priority="252">
      <formula>$R$21="ja"</formula>
    </cfRule>
    <cfRule type="expression" dxfId="39" priority="253">
      <formula>$M$20="rekenmodule voorleggen aan zorgkantoor"</formula>
    </cfRule>
    <cfRule type="expression" dxfId="38" priority="254">
      <formula>$M$20="zorg aanvragen via iWLZ, geen extra toestemming vereist"</formula>
    </cfRule>
  </conditionalFormatting>
  <conditionalFormatting sqref="M21">
    <cfRule type="expression" dxfId="37" priority="255">
      <formula>$M$20="PGB: Rekenmodule voorleggen aan Zorgkantoor"</formula>
    </cfRule>
    <cfRule type="expression" dxfId="36" priority="256">
      <formula>$T$23=3</formula>
    </cfRule>
    <cfRule type="expression" dxfId="35" priority="257">
      <formula>$M$20="rekenmodule voorleggen aan zorgkantoor"</formula>
    </cfRule>
    <cfRule type="expression" dxfId="34" priority="258">
      <formula>R21="ja"</formula>
    </cfRule>
  </conditionalFormatting>
  <conditionalFormatting sqref="H18">
    <cfRule type="expression" dxfId="33" priority="46">
      <formula>$H$18="fout splitsing"</formula>
    </cfRule>
  </conditionalFormatting>
  <conditionalFormatting sqref="N15">
    <cfRule type="expression" dxfId="32" priority="45">
      <formula>$I$33&gt;0</formula>
    </cfRule>
  </conditionalFormatting>
  <conditionalFormatting sqref="K33">
    <cfRule type="expression" dxfId="31" priority="43">
      <formula>$I$33&gt;0</formula>
    </cfRule>
  </conditionalFormatting>
  <conditionalFormatting sqref="K34">
    <cfRule type="expression" dxfId="30" priority="42">
      <formula>$I$34&gt;0</formula>
    </cfRule>
  </conditionalFormatting>
  <conditionalFormatting sqref="K38">
    <cfRule type="expression" dxfId="29" priority="41">
      <formula>$I$38&gt;0</formula>
    </cfRule>
  </conditionalFormatting>
  <conditionalFormatting sqref="K40">
    <cfRule type="expression" dxfId="28" priority="40">
      <formula>$I$40&gt;0</formula>
    </cfRule>
  </conditionalFormatting>
  <conditionalFormatting sqref="K41">
    <cfRule type="expression" dxfId="27" priority="39">
      <formula>$I$41&gt;0</formula>
    </cfRule>
  </conditionalFormatting>
  <conditionalFormatting sqref="K42">
    <cfRule type="expression" dxfId="26" priority="37">
      <formula>$I$42&gt;0</formula>
    </cfRule>
  </conditionalFormatting>
  <conditionalFormatting sqref="D44">
    <cfRule type="expression" dxfId="25" priority="36">
      <formula>$L$41=1</formula>
    </cfRule>
  </conditionalFormatting>
  <conditionalFormatting sqref="K35">
    <cfRule type="expression" dxfId="24" priority="259">
      <formula>$E$45&gt;0</formula>
    </cfRule>
  </conditionalFormatting>
  <conditionalFormatting sqref="I35">
    <cfRule type="expression" dxfId="23" priority="35">
      <formula>$I$35&gt;0</formula>
    </cfRule>
  </conditionalFormatting>
  <conditionalFormatting sqref="H20">
    <cfRule type="expression" dxfId="22" priority="34">
      <formula>G20=0</formula>
    </cfRule>
  </conditionalFormatting>
  <conditionalFormatting sqref="H19">
    <cfRule type="expression" dxfId="21" priority="33">
      <formula>$G$19=0</formula>
    </cfRule>
  </conditionalFormatting>
  <conditionalFormatting sqref="I20">
    <cfRule type="expression" dxfId="20" priority="32">
      <formula>$G$20=0</formula>
    </cfRule>
  </conditionalFormatting>
  <conditionalFormatting sqref="I34">
    <cfRule type="expression" dxfId="19" priority="31">
      <formula>$M$8&gt;0</formula>
    </cfRule>
  </conditionalFormatting>
  <conditionalFormatting sqref="K39">
    <cfRule type="expression" dxfId="18" priority="30">
      <formula>$I$39&gt;0</formula>
    </cfRule>
  </conditionalFormatting>
  <conditionalFormatting sqref="F14">
    <cfRule type="expression" dxfId="17" priority="29">
      <formula>$G$12="ja"</formula>
    </cfRule>
  </conditionalFormatting>
  <conditionalFormatting sqref="K14">
    <cfRule type="expression" dxfId="16" priority="28">
      <formula>$G$12="ja"</formula>
    </cfRule>
  </conditionalFormatting>
  <conditionalFormatting sqref="I33">
    <cfRule type="expression" dxfId="15" priority="27">
      <formula>$I$33=0</formula>
    </cfRule>
  </conditionalFormatting>
  <conditionalFormatting sqref="O8">
    <cfRule type="expression" dxfId="14" priority="25">
      <formula>$G$12="ja"</formula>
    </cfRule>
  </conditionalFormatting>
  <conditionalFormatting sqref="D40:F40">
    <cfRule type="expression" dxfId="13" priority="24">
      <formula>$D$40=0</formula>
    </cfRule>
  </conditionalFormatting>
  <conditionalFormatting sqref="D42:F42">
    <cfRule type="expression" dxfId="12" priority="23">
      <formula>$D$42=0</formula>
    </cfRule>
  </conditionalFormatting>
  <conditionalFormatting sqref="U19">
    <cfRule type="expression" dxfId="11" priority="22">
      <formula>$I$33&gt;0</formula>
    </cfRule>
  </conditionalFormatting>
  <conditionalFormatting sqref="O39 N35:N38">
    <cfRule type="expression" dxfId="10" priority="266">
      <formula>$N$35=0</formula>
    </cfRule>
  </conditionalFormatting>
  <conditionalFormatting sqref="O28">
    <cfRule type="expression" dxfId="9" priority="19">
      <formula>$N$28=0</formula>
    </cfRule>
  </conditionalFormatting>
  <conditionalFormatting sqref="O28:R30">
    <cfRule type="expression" dxfId="8" priority="7">
      <formula>$P$27="ja"</formula>
    </cfRule>
    <cfRule type="expression" dxfId="7" priority="8">
      <formula>$P$27="Ja"</formula>
    </cfRule>
  </conditionalFormatting>
  <conditionalFormatting sqref="O27:R27">
    <cfRule type="expression" dxfId="6" priority="5">
      <formula>SUM($N$28:$N$38)&lt;1%</formula>
    </cfRule>
    <cfRule type="expression" dxfId="5" priority="6">
      <formula>$M$20="eerst zorgvraag invullen"</formula>
    </cfRule>
  </conditionalFormatting>
  <conditionalFormatting sqref="P30:R30">
    <cfRule type="expression" dxfId="4" priority="4">
      <formula>$R$21=""</formula>
    </cfRule>
  </conditionalFormatting>
  <conditionalFormatting sqref="O28:O30">
    <cfRule type="expression" dxfId="3" priority="3">
      <formula>$P$27="ja"</formula>
    </cfRule>
  </conditionalFormatting>
  <dataValidations count="15">
    <dataValidation type="list" allowBlank="1" showInputMessage="1" showErrorMessage="1" sqref="G8:H8">
      <formula1>"SOM,PG,LG,VG,ZG"</formula1>
    </dataValidation>
    <dataValidation type="list" allowBlank="1" showInputMessage="1" showErrorMessage="1" sqref="G10:H10">
      <formula1>INDIRECT(G8)</formula1>
    </dataValidation>
    <dataValidation type="list" allowBlank="1" showInputMessage="1" showErrorMessage="1" sqref="R21 R25 G12 G15">
      <formula1>"Ja,Nee"</formula1>
    </dataValidation>
    <dataValidation type="list" allowBlank="1" showInputMessage="1" showErrorMessage="1" sqref="Q22:R22">
      <formula1>INDIRECT($DH$7)</formula1>
    </dataValidation>
    <dataValidation type="whole" allowBlank="1" showInputMessage="1" showErrorMessage="1" errorTitle="Alleen gehele waarden invullen" error="Komma getallen niet toegestaan" sqref="F18:F31">
      <formula1>0</formula1>
      <formula2>1000000000000000</formula2>
    </dataValidation>
    <dataValidation type="list" allowBlank="1" showInputMessage="1" showErrorMessage="1" sqref="Q24:R24">
      <formula1>Lijst3</formula1>
    </dataValidation>
    <dataValidation type="list" allowBlank="1" showInputMessage="1" showErrorMessage="1" sqref="Q23:R23">
      <formula1>"ja invasieve beademing,ja non-invasieve beademing,Nee"</formula1>
    </dataValidation>
    <dataValidation type="list" allowBlank="1" showInputMessage="1" showErrorMessage="1" sqref="F5:H6">
      <formula1>$EK$2:$EK$4</formula1>
    </dataValidation>
    <dataValidation type="list" allowBlank="1" showInputMessage="1" showErrorMessage="1" sqref="K14">
      <formula1>"ja,nee"</formula1>
    </dataValidation>
    <dataValidation type="list" allowBlank="1" showInputMessage="1" showErrorMessage="1" sqref="B19:B31">
      <formula1>IF($EK$12=9,INDIRECT($EK$8),IF($EK$12=8,INDIRECT($EK$7),INDIRECT($F$5)))</formula1>
    </dataValidation>
    <dataValidation type="list" allowBlank="1" showInputMessage="1" showErrorMessage="1" sqref="B18">
      <formula1>IF($EK$12=12,INDIRECT($EK$8),IF($EK$12=8,INDIRECT($EK$7),INDIRECT($F$5)))</formula1>
    </dataValidation>
    <dataValidation type="list" allowBlank="1" showInputMessage="1" showErrorMessage="1" sqref="H1">
      <formula1>$AB$7:$AB$28</formula1>
    </dataValidation>
    <dataValidation type="list" allowBlank="1" showInputMessage="1" showErrorMessage="1" sqref="D29:D31">
      <formula1>IF(EP40=0,INDIRECT(C29),INDIRECT(EO43))</formula1>
    </dataValidation>
    <dataValidation type="list" allowBlank="1" showInputMessage="1" showErrorMessage="1" sqref="D18:D26">
      <formula1>IF(EP28=0,INDIRECT(C18),INDIRECT(EO31))</formula1>
    </dataValidation>
    <dataValidation type="list" allowBlank="1" showInputMessage="1" showErrorMessage="1" sqref="D27:D28">
      <formula1>IF(EP37=0,INDIRECT(C27),INDIRECT(EO41))</formula1>
    </dataValidation>
  </dataValidations>
  <hyperlinks>
    <hyperlink ref="O12" location="Blad10!A1" display="LET OP: Meerzorg gekozen, klik hier voor onderbouwing!"/>
    <hyperlink ref="O12:S12" location="'Meerzorg onderbouwing'!A1" display="LET OP: Meerzorg gekozen, klik hier voor onderbouwing!"/>
  </hyperlinks>
  <pageMargins left="0.25" right="0.25" top="0.75" bottom="0.75" header="0.3" footer="0.3"/>
  <pageSetup paperSize="9" scale="1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57" id="{A94A289E-6998-48B2-AFDA-186A13EB111F}">
            <xm:f>'H:\TempOutlook\[Adviesformulier en rekenmodule 2017 versie 19 januari 2017 DEFINIIEF.xlsx]Meerzorg onderbouwing'!#REF!=6</xm:f>
            <x14:dxf>
              <font>
                <b/>
                <i val="0"/>
                <color rgb="FFCC0066"/>
              </font>
            </x14:dxf>
          </x14:cfRule>
          <xm:sqref>O13</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0"/>
  <dimension ref="A1"/>
  <sheetViews>
    <sheetView workbookViewId="0"/>
  </sheetViews>
  <sheetFormatPr defaultRowHeight="14.4" x14ac:dyDescent="0.3"/>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5">
    <tabColor rgb="FFCC0066"/>
  </sheetPr>
  <dimension ref="A1:V108"/>
  <sheetViews>
    <sheetView workbookViewId="0"/>
  </sheetViews>
  <sheetFormatPr defaultColWidth="0" defaultRowHeight="14.4" zeroHeight="1" x14ac:dyDescent="0.3"/>
  <cols>
    <col min="1" max="1" width="3.33203125" style="62" customWidth="1"/>
    <col min="2" max="2" width="4" style="62" customWidth="1"/>
    <col min="3" max="3" width="2.6640625" style="62" customWidth="1"/>
    <col min="4" max="4" width="9.33203125" style="62" customWidth="1"/>
    <col min="5" max="5" width="10.44140625" style="62" customWidth="1"/>
    <col min="6" max="6" width="6.6640625" style="62" customWidth="1"/>
    <col min="7" max="10" width="9.33203125" style="62" customWidth="1"/>
    <col min="11" max="12" width="13.33203125" style="62" customWidth="1"/>
    <col min="13" max="18" width="13.33203125" style="62" hidden="1" customWidth="1"/>
    <col min="19" max="19" width="9.33203125" style="62" hidden="1" customWidth="1"/>
    <col min="20" max="16384" width="13.33203125" style="62" hidden="1"/>
  </cols>
  <sheetData>
    <row r="1" spans="1:22" ht="26.25" x14ac:dyDescent="0.4">
      <c r="A1" s="43" t="s">
        <v>2699</v>
      </c>
      <c r="J1" s="120"/>
      <c r="K1" s="120"/>
    </row>
    <row r="2" spans="1:22" ht="25.8" x14ac:dyDescent="0.5">
      <c r="A2" s="43"/>
      <c r="B2" s="62" t="s">
        <v>2700</v>
      </c>
      <c r="F2" s="103">
        <f>P5</f>
        <v>0</v>
      </c>
      <c r="G2" s="62" t="s">
        <v>1731</v>
      </c>
      <c r="I2" s="518" t="s">
        <v>2747</v>
      </c>
      <c r="J2" s="518"/>
      <c r="K2" s="518"/>
      <c r="L2" s="448"/>
      <c r="O2" s="62" t="s">
        <v>1253</v>
      </c>
      <c r="P2" s="62">
        <f>SUMIF(Rekenblad!$B$17:$B$31,"PV",Rekenblad!$F$17:$F$31)</f>
        <v>0</v>
      </c>
      <c r="R2" s="62" t="s">
        <v>1543</v>
      </c>
      <c r="S2" s="62">
        <f>SUMIF(Rekenblad!$B$17:$B$31,"BGgrp",Rekenblad!$F$17:$F$31)</f>
        <v>0</v>
      </c>
      <c r="V2" s="103">
        <f>F5-K5</f>
        <v>0</v>
      </c>
    </row>
    <row r="3" spans="1:22" ht="25.8" x14ac:dyDescent="0.5">
      <c r="A3" s="43"/>
      <c r="B3" s="62" t="s">
        <v>2701</v>
      </c>
      <c r="F3" s="103">
        <f>S2</f>
        <v>0</v>
      </c>
      <c r="G3" s="62" t="s">
        <v>1731</v>
      </c>
      <c r="I3" s="518"/>
      <c r="J3" s="518"/>
      <c r="K3" s="518"/>
      <c r="L3" s="448"/>
      <c r="O3" s="62" t="s">
        <v>1255</v>
      </c>
      <c r="P3" s="62">
        <f>SUMIF(Rekenblad!$B$17:$B$31,"VP",Rekenblad!$F$17:$F$31)</f>
        <v>0</v>
      </c>
      <c r="R3" s="62" t="s">
        <v>1544</v>
      </c>
      <c r="S3" s="62">
        <f>SUMIF(Rekenblad!$B$17:$B$31,"BHgrp",Rekenblad!$F$17:$F$31)</f>
        <v>0</v>
      </c>
    </row>
    <row r="4" spans="1:22" ht="25.8" x14ac:dyDescent="0.5">
      <c r="A4" s="43"/>
      <c r="B4" s="62" t="s">
        <v>2702</v>
      </c>
      <c r="F4" s="103">
        <f>S5</f>
        <v>0</v>
      </c>
      <c r="G4" s="62" t="s">
        <v>1731</v>
      </c>
      <c r="I4" s="448"/>
      <c r="J4" s="448"/>
      <c r="K4" s="448"/>
      <c r="L4" s="448"/>
      <c r="O4" s="62" t="s">
        <v>1542</v>
      </c>
      <c r="P4" s="62">
        <f>SUMIF(Rekenblad!$B$17:$B$31,"BGind",Rekenblad!$F$17:$F$31)</f>
        <v>0</v>
      </c>
      <c r="R4" s="62" t="s">
        <v>1545</v>
      </c>
      <c r="S4" s="62">
        <f>SUMIF(Rekenblad!$B$17:$B$31,"BHind",Rekenblad!$F$17:$F$31)</f>
        <v>0</v>
      </c>
      <c r="T4" s="62">
        <f>S4/60</f>
        <v>0</v>
      </c>
      <c r="V4" s="62">
        <f>IF(V2&lt;=0,1,2)</f>
        <v>1</v>
      </c>
    </row>
    <row r="5" spans="1:22" ht="26.25" x14ac:dyDescent="0.4">
      <c r="A5" s="43"/>
      <c r="B5" s="62" t="s">
        <v>2745</v>
      </c>
      <c r="F5" s="103">
        <f>SUM(F2:F4)</f>
        <v>0</v>
      </c>
      <c r="H5" s="62" t="s">
        <v>2746</v>
      </c>
      <c r="K5" s="62">
        <f>Rekenblad!EB6</f>
        <v>0</v>
      </c>
      <c r="L5" s="62" t="s">
        <v>2749</v>
      </c>
      <c r="P5" s="62">
        <f>SUM(P2:P4)/60</f>
        <v>0</v>
      </c>
      <c r="S5" s="62">
        <f>T4+S3</f>
        <v>0</v>
      </c>
      <c r="V5" s="62">
        <f>IF(Rekenblad!Q24="meerzorg",5,6)</f>
        <v>6</v>
      </c>
    </row>
    <row r="6" spans="1:22" ht="15" x14ac:dyDescent="0.25">
      <c r="V6" s="62">
        <f>SUM(V4:V5)</f>
        <v>7</v>
      </c>
    </row>
    <row r="7" spans="1:22" ht="15" x14ac:dyDescent="0.25">
      <c r="A7" s="104" t="s">
        <v>2703</v>
      </c>
    </row>
    <row r="8" spans="1:22" ht="15" x14ac:dyDescent="0.25">
      <c r="B8" s="105"/>
      <c r="D8" s="62" t="s">
        <v>2704</v>
      </c>
      <c r="G8" s="106" t="s">
        <v>2705</v>
      </c>
      <c r="N8" s="62">
        <f>IF(B8="X",1,0)</f>
        <v>0</v>
      </c>
    </row>
    <row r="9" spans="1:22" ht="15" x14ac:dyDescent="0.25">
      <c r="B9" s="105"/>
      <c r="D9" s="62" t="s">
        <v>2706</v>
      </c>
      <c r="N9" s="62">
        <f>IF(B9="X",1,0)</f>
        <v>0</v>
      </c>
      <c r="Q9" s="62">
        <f>SUM(N8:N9)</f>
        <v>0</v>
      </c>
      <c r="R9" s="62" t="str">
        <f>IF(Q9=0,"X","")</f>
        <v>X</v>
      </c>
    </row>
    <row r="10" spans="1:22" ht="15" x14ac:dyDescent="0.25"/>
    <row r="11" spans="1:22" ht="15" x14ac:dyDescent="0.25"/>
    <row r="12" spans="1:22" ht="15" x14ac:dyDescent="0.25">
      <c r="A12" s="104" t="s">
        <v>2707</v>
      </c>
      <c r="N12" s="62">
        <f>IF(B13="X",1,0)</f>
        <v>0</v>
      </c>
    </row>
    <row r="13" spans="1:22" ht="15" x14ac:dyDescent="0.25">
      <c r="B13" s="105"/>
      <c r="D13" s="62" t="s">
        <v>2708</v>
      </c>
      <c r="N13" s="62">
        <f>IF(B14="X",1,0)</f>
        <v>0</v>
      </c>
      <c r="Q13" s="62">
        <f>SUM(N12:N14)</f>
        <v>0</v>
      </c>
      <c r="R13" s="62" t="str">
        <f>IF(Q13=0,"X","")</f>
        <v>X</v>
      </c>
    </row>
    <row r="14" spans="1:22" ht="15" x14ac:dyDescent="0.25">
      <c r="B14" s="105"/>
      <c r="D14" s="62" t="s">
        <v>2709</v>
      </c>
      <c r="N14" s="62">
        <f>IF(B15="X",1,0)</f>
        <v>0</v>
      </c>
    </row>
    <row r="15" spans="1:22" ht="15" x14ac:dyDescent="0.25">
      <c r="B15" s="105"/>
      <c r="D15" s="62" t="s">
        <v>2710</v>
      </c>
    </row>
    <row r="16" spans="1:22" ht="15" x14ac:dyDescent="0.25"/>
    <row r="17" spans="1:19" ht="15" x14ac:dyDescent="0.25"/>
    <row r="18" spans="1:19" ht="15" x14ac:dyDescent="0.25">
      <c r="A18" s="104" t="s">
        <v>2711</v>
      </c>
      <c r="S18" s="62">
        <f>IF([2]Rekenblad!P21="nee",-1,0)</f>
        <v>0</v>
      </c>
    </row>
    <row r="19" spans="1:19" x14ac:dyDescent="0.3">
      <c r="B19" s="460"/>
      <c r="C19" s="460"/>
      <c r="D19" s="460"/>
      <c r="E19" s="460"/>
      <c r="F19" s="460"/>
      <c r="G19" s="460"/>
      <c r="H19" s="460"/>
      <c r="I19" s="460"/>
      <c r="J19" s="460"/>
      <c r="K19" s="460"/>
      <c r="S19" s="62">
        <f>IF([2]Rekenblad!P21="ja",1,0)</f>
        <v>1</v>
      </c>
    </row>
    <row r="20" spans="1:19" x14ac:dyDescent="0.3">
      <c r="B20" s="460"/>
      <c r="C20" s="460"/>
      <c r="D20" s="460"/>
      <c r="E20" s="460"/>
      <c r="F20" s="460"/>
      <c r="G20" s="460"/>
      <c r="H20" s="460"/>
      <c r="I20" s="460"/>
      <c r="J20" s="460"/>
      <c r="K20" s="460"/>
      <c r="S20" s="62">
        <f>Q9</f>
        <v>0</v>
      </c>
    </row>
    <row r="21" spans="1:19" x14ac:dyDescent="0.3">
      <c r="B21" s="460"/>
      <c r="C21" s="460"/>
      <c r="D21" s="460"/>
      <c r="E21" s="460"/>
      <c r="F21" s="460"/>
      <c r="G21" s="460"/>
      <c r="H21" s="460"/>
      <c r="I21" s="460"/>
      <c r="J21" s="460"/>
      <c r="K21" s="460"/>
      <c r="S21" s="62">
        <f>SUM(S18:S20)</f>
        <v>1</v>
      </c>
    </row>
    <row r="22" spans="1:19" x14ac:dyDescent="0.3">
      <c r="B22" s="460"/>
      <c r="C22" s="460"/>
      <c r="D22" s="460"/>
      <c r="E22" s="460"/>
      <c r="F22" s="460"/>
      <c r="G22" s="460"/>
      <c r="H22" s="460"/>
      <c r="I22" s="460"/>
      <c r="J22" s="460"/>
      <c r="K22" s="460"/>
    </row>
    <row r="23" spans="1:19" x14ac:dyDescent="0.3">
      <c r="B23" s="460"/>
      <c r="C23" s="460"/>
      <c r="D23" s="460"/>
      <c r="E23" s="460"/>
      <c r="F23" s="460"/>
      <c r="G23" s="460"/>
      <c r="H23" s="460"/>
      <c r="I23" s="460"/>
      <c r="J23" s="460"/>
      <c r="K23" s="460"/>
    </row>
    <row r="24" spans="1:19" x14ac:dyDescent="0.3">
      <c r="B24" s="460"/>
      <c r="C24" s="460"/>
      <c r="D24" s="460"/>
      <c r="E24" s="460"/>
      <c r="F24" s="460"/>
      <c r="G24" s="460"/>
      <c r="H24" s="460"/>
      <c r="I24" s="460"/>
      <c r="J24" s="460"/>
      <c r="K24" s="460"/>
    </row>
    <row r="25" spans="1:19" x14ac:dyDescent="0.3">
      <c r="B25" s="460"/>
      <c r="C25" s="460"/>
      <c r="D25" s="460"/>
      <c r="E25" s="460"/>
      <c r="F25" s="460"/>
      <c r="G25" s="460"/>
      <c r="H25" s="460"/>
      <c r="I25" s="460"/>
      <c r="J25" s="460"/>
      <c r="K25" s="460"/>
    </row>
    <row r="26" spans="1:19" x14ac:dyDescent="0.3">
      <c r="B26" s="460"/>
      <c r="C26" s="460"/>
      <c r="D26" s="460"/>
      <c r="E26" s="460"/>
      <c r="F26" s="460"/>
      <c r="G26" s="460"/>
      <c r="H26" s="460"/>
      <c r="I26" s="460"/>
      <c r="J26" s="460"/>
      <c r="K26" s="460"/>
    </row>
    <row r="27" spans="1:19" x14ac:dyDescent="0.3">
      <c r="B27" s="460"/>
      <c r="C27" s="460"/>
      <c r="D27" s="460"/>
      <c r="E27" s="460"/>
      <c r="F27" s="460"/>
      <c r="G27" s="460"/>
      <c r="H27" s="460"/>
      <c r="I27" s="460"/>
      <c r="J27" s="460"/>
      <c r="K27" s="460"/>
    </row>
    <row r="28" spans="1:19" x14ac:dyDescent="0.3">
      <c r="B28" s="460"/>
      <c r="C28" s="460"/>
      <c r="D28" s="460"/>
      <c r="E28" s="460"/>
      <c r="F28" s="460"/>
      <c r="G28" s="460"/>
      <c r="H28" s="460"/>
      <c r="I28" s="460"/>
      <c r="J28" s="460"/>
      <c r="K28" s="460"/>
    </row>
    <row r="29" spans="1:19" x14ac:dyDescent="0.3">
      <c r="B29" s="460"/>
      <c r="C29" s="460"/>
      <c r="D29" s="460"/>
      <c r="E29" s="460"/>
      <c r="F29" s="460"/>
      <c r="G29" s="460"/>
      <c r="H29" s="460"/>
      <c r="I29" s="460"/>
      <c r="J29" s="460"/>
      <c r="K29" s="460"/>
    </row>
    <row r="30" spans="1:19" x14ac:dyDescent="0.3">
      <c r="B30" s="460"/>
      <c r="C30" s="460"/>
      <c r="D30" s="460"/>
      <c r="E30" s="460"/>
      <c r="F30" s="460"/>
      <c r="G30" s="460"/>
      <c r="H30" s="460"/>
      <c r="I30" s="460"/>
      <c r="J30" s="460"/>
      <c r="K30" s="460"/>
    </row>
    <row r="31" spans="1:19" x14ac:dyDescent="0.3">
      <c r="B31" s="460"/>
      <c r="C31" s="460"/>
      <c r="D31" s="460"/>
      <c r="E31" s="460"/>
      <c r="F31" s="460"/>
      <c r="G31" s="460"/>
      <c r="H31" s="460"/>
      <c r="I31" s="460"/>
      <c r="J31" s="460"/>
      <c r="K31" s="460"/>
    </row>
    <row r="32" spans="1:19" x14ac:dyDescent="0.3">
      <c r="B32" s="460"/>
      <c r="C32" s="460"/>
      <c r="D32" s="460"/>
      <c r="E32" s="460"/>
      <c r="F32" s="460"/>
      <c r="G32" s="460"/>
      <c r="H32" s="460"/>
      <c r="I32" s="460"/>
      <c r="J32" s="460"/>
      <c r="K32" s="460"/>
    </row>
    <row r="33" spans="1:11" x14ac:dyDescent="0.3">
      <c r="B33" s="460"/>
      <c r="C33" s="460"/>
      <c r="D33" s="460"/>
      <c r="E33" s="460"/>
      <c r="F33" s="460"/>
      <c r="G33" s="460"/>
      <c r="H33" s="460"/>
      <c r="I33" s="460"/>
      <c r="J33" s="460"/>
      <c r="K33" s="460"/>
    </row>
    <row r="34" spans="1:11" x14ac:dyDescent="0.3"/>
    <row r="35" spans="1:11" x14ac:dyDescent="0.3">
      <c r="A35" s="62" t="s">
        <v>2712</v>
      </c>
    </row>
    <row r="36" spans="1:11" x14ac:dyDescent="0.3">
      <c r="B36" s="460"/>
      <c r="C36" s="460"/>
      <c r="D36" s="460"/>
      <c r="E36" s="460"/>
      <c r="F36" s="460"/>
      <c r="G36" s="460"/>
      <c r="H36" s="460"/>
      <c r="I36" s="460"/>
      <c r="J36" s="460"/>
      <c r="K36" s="460"/>
    </row>
    <row r="37" spans="1:11" x14ac:dyDescent="0.3">
      <c r="B37" s="460"/>
      <c r="C37" s="460"/>
      <c r="D37" s="460"/>
      <c r="E37" s="460"/>
      <c r="F37" s="460"/>
      <c r="G37" s="460"/>
      <c r="H37" s="460"/>
      <c r="I37" s="460"/>
      <c r="J37" s="460"/>
      <c r="K37" s="460"/>
    </row>
    <row r="38" spans="1:11" x14ac:dyDescent="0.3">
      <c r="B38" s="460"/>
      <c r="C38" s="460"/>
      <c r="D38" s="460"/>
      <c r="E38" s="460"/>
      <c r="F38" s="460"/>
      <c r="G38" s="460"/>
      <c r="H38" s="460"/>
      <c r="I38" s="460"/>
      <c r="J38" s="460"/>
      <c r="K38" s="460"/>
    </row>
    <row r="39" spans="1:11" x14ac:dyDescent="0.3">
      <c r="B39" s="460"/>
      <c r="C39" s="460"/>
      <c r="D39" s="460"/>
      <c r="E39" s="460"/>
      <c r="F39" s="460"/>
      <c r="G39" s="460"/>
      <c r="H39" s="460"/>
      <c r="I39" s="460"/>
      <c r="J39" s="460"/>
      <c r="K39" s="460"/>
    </row>
    <row r="40" spans="1:11" x14ac:dyDescent="0.3">
      <c r="B40" s="460"/>
      <c r="C40" s="460"/>
      <c r="D40" s="460"/>
      <c r="E40" s="460"/>
      <c r="F40" s="460"/>
      <c r="G40" s="460"/>
      <c r="H40" s="460"/>
      <c r="I40" s="460"/>
      <c r="J40" s="460"/>
      <c r="K40" s="460"/>
    </row>
    <row r="41" spans="1:11" x14ac:dyDescent="0.3">
      <c r="B41" s="460"/>
      <c r="C41" s="460"/>
      <c r="D41" s="460"/>
      <c r="E41" s="460"/>
      <c r="F41" s="460"/>
      <c r="G41" s="460"/>
      <c r="H41" s="460"/>
      <c r="I41" s="460"/>
      <c r="J41" s="460"/>
      <c r="K41" s="460"/>
    </row>
    <row r="42" spans="1:11" x14ac:dyDescent="0.3">
      <c r="B42" s="460"/>
      <c r="C42" s="460"/>
      <c r="D42" s="460"/>
      <c r="E42" s="460"/>
      <c r="F42" s="460"/>
      <c r="G42" s="460"/>
      <c r="H42" s="460"/>
      <c r="I42" s="460"/>
      <c r="J42" s="460"/>
      <c r="K42" s="460"/>
    </row>
    <row r="43" spans="1:11" x14ac:dyDescent="0.3">
      <c r="B43" s="460"/>
      <c r="C43" s="460"/>
      <c r="D43" s="460"/>
      <c r="E43" s="460"/>
      <c r="F43" s="460"/>
      <c r="G43" s="460"/>
      <c r="H43" s="460"/>
      <c r="I43" s="460"/>
      <c r="J43" s="460"/>
      <c r="K43" s="460"/>
    </row>
    <row r="44" spans="1:11" x14ac:dyDescent="0.3">
      <c r="B44" s="460"/>
      <c r="C44" s="460"/>
      <c r="D44" s="460"/>
      <c r="E44" s="460"/>
      <c r="F44" s="460"/>
      <c r="G44" s="460"/>
      <c r="H44" s="460"/>
      <c r="I44" s="460"/>
      <c r="J44" s="460"/>
      <c r="K44" s="460"/>
    </row>
    <row r="45" spans="1:11" x14ac:dyDescent="0.3">
      <c r="B45" s="460"/>
      <c r="C45" s="460"/>
      <c r="D45" s="460"/>
      <c r="E45" s="460"/>
      <c r="F45" s="460"/>
      <c r="G45" s="460"/>
      <c r="H45" s="460"/>
      <c r="I45" s="460"/>
      <c r="J45" s="460"/>
      <c r="K45" s="460"/>
    </row>
    <row r="46" spans="1:11" x14ac:dyDescent="0.3">
      <c r="B46" s="460"/>
      <c r="C46" s="460"/>
      <c r="D46" s="460"/>
      <c r="E46" s="460"/>
      <c r="F46" s="460"/>
      <c r="G46" s="460"/>
      <c r="H46" s="460"/>
      <c r="I46" s="460"/>
      <c r="J46" s="460"/>
      <c r="K46" s="460"/>
    </row>
    <row r="47" spans="1:11" x14ac:dyDescent="0.3">
      <c r="B47" s="460"/>
      <c r="C47" s="460"/>
      <c r="D47" s="460"/>
      <c r="E47" s="460"/>
      <c r="F47" s="460"/>
      <c r="G47" s="460"/>
      <c r="H47" s="460"/>
      <c r="I47" s="460"/>
      <c r="J47" s="460"/>
      <c r="K47" s="460"/>
    </row>
    <row r="48" spans="1:11" x14ac:dyDescent="0.3">
      <c r="B48" s="460"/>
      <c r="C48" s="460"/>
      <c r="D48" s="460"/>
      <c r="E48" s="460"/>
      <c r="F48" s="460"/>
      <c r="G48" s="460"/>
      <c r="H48" s="460"/>
      <c r="I48" s="460"/>
      <c r="J48" s="460"/>
      <c r="K48" s="460"/>
    </row>
    <row r="49" spans="1:11" x14ac:dyDescent="0.3"/>
    <row r="50" spans="1:11" x14ac:dyDescent="0.3"/>
    <row r="51" spans="1:11" x14ac:dyDescent="0.3"/>
    <row r="52" spans="1:11" x14ac:dyDescent="0.3"/>
    <row r="53" spans="1:11" x14ac:dyDescent="0.3"/>
    <row r="54" spans="1:11" x14ac:dyDescent="0.3">
      <c r="A54" s="104" t="s">
        <v>2713</v>
      </c>
    </row>
    <row r="55" spans="1:11" x14ac:dyDescent="0.3">
      <c r="B55" s="460"/>
      <c r="C55" s="460"/>
      <c r="D55" s="460"/>
      <c r="E55" s="460"/>
      <c r="F55" s="460"/>
      <c r="G55" s="460"/>
      <c r="H55" s="460"/>
      <c r="I55" s="460"/>
      <c r="J55" s="460"/>
      <c r="K55" s="460"/>
    </row>
    <row r="56" spans="1:11" x14ac:dyDescent="0.3">
      <c r="B56" s="460"/>
      <c r="C56" s="460"/>
      <c r="D56" s="460"/>
      <c r="E56" s="460"/>
      <c r="F56" s="460"/>
      <c r="G56" s="460"/>
      <c r="H56" s="460"/>
      <c r="I56" s="460"/>
      <c r="J56" s="460"/>
      <c r="K56" s="460"/>
    </row>
    <row r="57" spans="1:11" x14ac:dyDescent="0.3">
      <c r="B57" s="460"/>
      <c r="C57" s="460"/>
      <c r="D57" s="460"/>
      <c r="E57" s="460"/>
      <c r="F57" s="460"/>
      <c r="G57" s="460"/>
      <c r="H57" s="460"/>
      <c r="I57" s="460"/>
      <c r="J57" s="460"/>
      <c r="K57" s="460"/>
    </row>
    <row r="58" spans="1:11" x14ac:dyDescent="0.3">
      <c r="B58" s="460"/>
      <c r="C58" s="460"/>
      <c r="D58" s="460"/>
      <c r="E58" s="460"/>
      <c r="F58" s="460"/>
      <c r="G58" s="460"/>
      <c r="H58" s="460"/>
      <c r="I58" s="460"/>
      <c r="J58" s="460"/>
      <c r="K58" s="460"/>
    </row>
    <row r="59" spans="1:11" x14ac:dyDescent="0.3">
      <c r="B59" s="460"/>
      <c r="C59" s="460"/>
      <c r="D59" s="460"/>
      <c r="E59" s="460"/>
      <c r="F59" s="460"/>
      <c r="G59" s="460"/>
      <c r="H59" s="460"/>
      <c r="I59" s="460"/>
      <c r="J59" s="460"/>
      <c r="K59" s="460"/>
    </row>
    <row r="60" spans="1:11" x14ac:dyDescent="0.3">
      <c r="B60" s="460"/>
      <c r="C60" s="460"/>
      <c r="D60" s="460"/>
      <c r="E60" s="460"/>
      <c r="F60" s="460"/>
      <c r="G60" s="460"/>
      <c r="H60" s="460"/>
      <c r="I60" s="460"/>
      <c r="J60" s="460"/>
      <c r="K60" s="460"/>
    </row>
    <row r="61" spans="1:11" x14ac:dyDescent="0.3">
      <c r="B61" s="460"/>
      <c r="C61" s="460"/>
      <c r="D61" s="460"/>
      <c r="E61" s="460"/>
      <c r="F61" s="460"/>
      <c r="G61" s="460"/>
      <c r="H61" s="460"/>
      <c r="I61" s="460"/>
      <c r="J61" s="460"/>
      <c r="K61" s="460"/>
    </row>
    <row r="62" spans="1:11" x14ac:dyDescent="0.3">
      <c r="B62" s="460"/>
      <c r="C62" s="460"/>
      <c r="D62" s="460"/>
      <c r="E62" s="460"/>
      <c r="F62" s="460"/>
      <c r="G62" s="460"/>
      <c r="H62" s="460"/>
      <c r="I62" s="460"/>
      <c r="J62" s="460"/>
      <c r="K62" s="460"/>
    </row>
    <row r="63" spans="1:11" x14ac:dyDescent="0.3">
      <c r="B63" s="460"/>
      <c r="C63" s="460"/>
      <c r="D63" s="460"/>
      <c r="E63" s="460"/>
      <c r="F63" s="460"/>
      <c r="G63" s="460"/>
      <c r="H63" s="460"/>
      <c r="I63" s="460"/>
      <c r="J63" s="460"/>
      <c r="K63" s="460"/>
    </row>
    <row r="64" spans="1:11" x14ac:dyDescent="0.3">
      <c r="B64" s="460"/>
      <c r="C64" s="460"/>
      <c r="D64" s="460"/>
      <c r="E64" s="460"/>
      <c r="F64" s="460"/>
      <c r="G64" s="460"/>
      <c r="H64" s="460"/>
      <c r="I64" s="460"/>
      <c r="J64" s="460"/>
      <c r="K64" s="460"/>
    </row>
    <row r="65" spans="2:11" x14ac:dyDescent="0.3">
      <c r="B65" s="460"/>
      <c r="C65" s="460"/>
      <c r="D65" s="460"/>
      <c r="E65" s="460"/>
      <c r="F65" s="460"/>
      <c r="G65" s="460"/>
      <c r="H65" s="460"/>
      <c r="I65" s="460"/>
      <c r="J65" s="460"/>
      <c r="K65" s="460"/>
    </row>
    <row r="66" spans="2:11" x14ac:dyDescent="0.3">
      <c r="B66" s="460"/>
      <c r="C66" s="460"/>
      <c r="D66" s="460"/>
      <c r="E66" s="460"/>
      <c r="F66" s="460"/>
      <c r="G66" s="460"/>
      <c r="H66" s="460"/>
      <c r="I66" s="460"/>
      <c r="J66" s="460"/>
      <c r="K66" s="460"/>
    </row>
    <row r="67" spans="2:11" x14ac:dyDescent="0.3">
      <c r="B67" s="460"/>
      <c r="C67" s="460"/>
      <c r="D67" s="460"/>
      <c r="E67" s="460"/>
      <c r="F67" s="460"/>
      <c r="G67" s="460"/>
      <c r="H67" s="460"/>
      <c r="I67" s="460"/>
      <c r="J67" s="460"/>
      <c r="K67" s="460"/>
    </row>
    <row r="68" spans="2:11" x14ac:dyDescent="0.3">
      <c r="B68" s="460"/>
      <c r="C68" s="460"/>
      <c r="D68" s="460"/>
      <c r="E68" s="460"/>
      <c r="F68" s="460"/>
      <c r="G68" s="460"/>
      <c r="H68" s="460"/>
      <c r="I68" s="460"/>
      <c r="J68" s="460"/>
      <c r="K68" s="460"/>
    </row>
    <row r="69" spans="2:11" x14ac:dyDescent="0.3"/>
    <row r="70" spans="2:11" x14ac:dyDescent="0.3"/>
    <row r="71" spans="2:11" x14ac:dyDescent="0.3"/>
    <row r="72" spans="2:11" x14ac:dyDescent="0.3"/>
    <row r="73" spans="2:11" x14ac:dyDescent="0.3"/>
    <row r="74" spans="2:11" x14ac:dyDescent="0.3"/>
    <row r="75" spans="2:11" x14ac:dyDescent="0.3"/>
    <row r="76" spans="2:11" x14ac:dyDescent="0.3"/>
    <row r="77" spans="2:11" x14ac:dyDescent="0.3"/>
    <row r="78" spans="2:11" x14ac:dyDescent="0.3"/>
    <row r="79" spans="2:11" x14ac:dyDescent="0.3"/>
    <row r="80" spans="2:11"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spans="6:6" x14ac:dyDescent="0.3"/>
    <row r="98" spans="6:6" x14ac:dyDescent="0.3"/>
    <row r="99" spans="6:6" x14ac:dyDescent="0.3"/>
    <row r="100" spans="6:6" x14ac:dyDescent="0.3"/>
    <row r="101" spans="6:6" x14ac:dyDescent="0.3"/>
    <row r="102" spans="6:6" x14ac:dyDescent="0.3"/>
    <row r="103" spans="6:6" x14ac:dyDescent="0.3"/>
    <row r="104" spans="6:6" ht="15" hidden="1" x14ac:dyDescent="0.25"/>
    <row r="108" spans="6:6" ht="15" hidden="1" x14ac:dyDescent="0.25">
      <c r="F108" s="62" t="s">
        <v>2714</v>
      </c>
    </row>
  </sheetData>
  <sheetProtection algorithmName="SHA-512" hashValue="OnSAo4QqNRcNS/2ABHeI9QkBk9Onw9VGLadv4SvCz6wo9XXlwbxNN/e766Cutuj0T0NCVvJiNGkxTy1vrWXSvA==" saltValue="I/v6Fg7QbxPWaxDYY7Yi/g==" spinCount="100000" sheet="1" objects="1" scenarios="1"/>
  <mergeCells count="4">
    <mergeCell ref="B19:K33"/>
    <mergeCell ref="B36:K48"/>
    <mergeCell ref="B55:K68"/>
    <mergeCell ref="I2:L4"/>
  </mergeCells>
  <conditionalFormatting sqref="G8">
    <cfRule type="expression" dxfId="1" priority="2">
      <formula>$B$8="X"</formula>
    </cfRule>
  </conditionalFormatting>
  <conditionalFormatting sqref="I2:K3">
    <cfRule type="expression" dxfId="0" priority="1">
      <formula>$V$2&lt;0</formula>
    </cfRule>
  </conditionalFormatting>
  <dataValidations count="2">
    <dataValidation type="list" allowBlank="1" showInputMessage="1" showErrorMessage="1" sqref="B13:B15">
      <formula1>$R$13</formula1>
    </dataValidation>
    <dataValidation type="list" allowBlank="1" showInputMessage="1" showErrorMessage="1" sqref="B8:B9">
      <formula1>$R$9</formula1>
    </dataValidation>
  </dataValidation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2"/>
  <dimension ref="A1:O55"/>
  <sheetViews>
    <sheetView zoomScale="145" zoomScaleNormal="145" workbookViewId="0"/>
  </sheetViews>
  <sheetFormatPr defaultColWidth="9.33203125" defaultRowHeight="14.4" x14ac:dyDescent="0.3"/>
  <cols>
    <col min="1" max="12" width="9.33203125" style="120"/>
    <col min="13" max="13" width="15.6640625" style="120" bestFit="1" customWidth="1"/>
    <col min="14" max="14" width="0" style="120" hidden="1" customWidth="1"/>
    <col min="15" max="15" width="16.33203125" style="120" bestFit="1" customWidth="1"/>
    <col min="16" max="16384" width="9.33203125" style="120"/>
  </cols>
  <sheetData>
    <row r="1" spans="1:15" ht="15.75" x14ac:dyDescent="0.25">
      <c r="A1" s="70" t="s">
        <v>3617</v>
      </c>
    </row>
    <row r="3" spans="1:15" ht="15" x14ac:dyDescent="0.25">
      <c r="A3" s="63" t="s">
        <v>1161</v>
      </c>
      <c r="B3" s="63" t="s">
        <v>1161</v>
      </c>
      <c r="C3" s="63"/>
      <c r="D3" s="63"/>
      <c r="E3" s="66"/>
      <c r="F3" s="63"/>
      <c r="G3" s="66"/>
      <c r="H3" s="63"/>
      <c r="I3" s="66"/>
      <c r="J3" s="63"/>
      <c r="K3" s="66"/>
      <c r="L3" s="66"/>
      <c r="M3" s="66" t="s">
        <v>3492</v>
      </c>
      <c r="O3" s="382" t="s">
        <v>3493</v>
      </c>
    </row>
    <row r="4" spans="1:15" ht="15" x14ac:dyDescent="0.25">
      <c r="A4" s="63"/>
      <c r="B4" s="63" t="s">
        <v>1258</v>
      </c>
      <c r="C4" s="63"/>
      <c r="D4" s="63"/>
      <c r="E4" s="66"/>
      <c r="F4" s="63"/>
      <c r="G4" s="66"/>
      <c r="H4" s="63"/>
      <c r="I4" s="66"/>
      <c r="J4" s="63"/>
      <c r="K4" s="66"/>
      <c r="L4" s="66"/>
      <c r="M4" s="66"/>
      <c r="O4" s="379"/>
    </row>
    <row r="5" spans="1:15" ht="15" x14ac:dyDescent="0.25">
      <c r="A5" s="64"/>
      <c r="B5" s="64"/>
      <c r="C5" s="64"/>
      <c r="D5" s="64"/>
      <c r="E5" s="67"/>
      <c r="F5" s="64"/>
      <c r="G5" s="67"/>
      <c r="H5" s="64"/>
      <c r="I5" s="67"/>
      <c r="J5" s="64"/>
      <c r="K5" s="67"/>
      <c r="L5" s="67"/>
      <c r="M5" s="67"/>
      <c r="O5" s="379"/>
    </row>
    <row r="6" spans="1:15" ht="15" x14ac:dyDescent="0.25">
      <c r="A6" s="63" t="s">
        <v>1820</v>
      </c>
      <c r="B6" s="64"/>
      <c r="C6" s="64"/>
      <c r="D6" s="64"/>
      <c r="E6" s="67"/>
      <c r="F6" s="64"/>
      <c r="G6" s="67"/>
      <c r="H6" s="64"/>
      <c r="I6" s="67"/>
      <c r="J6" s="64"/>
      <c r="K6" s="67"/>
      <c r="L6" s="67"/>
      <c r="M6" s="67"/>
      <c r="O6" s="379"/>
    </row>
    <row r="7" spans="1:15" ht="15" x14ac:dyDescent="0.25">
      <c r="A7" s="64" t="s">
        <v>1214</v>
      </c>
      <c r="B7" s="64">
        <v>750</v>
      </c>
      <c r="C7" s="64"/>
      <c r="D7" s="64"/>
      <c r="E7" s="67"/>
      <c r="F7" s="64"/>
      <c r="G7" s="67"/>
      <c r="H7" s="64"/>
      <c r="I7" s="67"/>
      <c r="J7" s="64"/>
      <c r="K7" s="67"/>
      <c r="L7" s="67"/>
      <c r="M7" s="67">
        <v>16003</v>
      </c>
      <c r="N7" s="120">
        <v>306.90684931506848</v>
      </c>
      <c r="O7" s="380">
        <v>306.90684931506848</v>
      </c>
    </row>
    <row r="8" spans="1:15" ht="15" x14ac:dyDescent="0.25">
      <c r="A8" s="64" t="s">
        <v>1215</v>
      </c>
      <c r="B8" s="64">
        <v>751</v>
      </c>
      <c r="C8" s="64"/>
      <c r="D8" s="64"/>
      <c r="E8" s="67"/>
      <c r="F8" s="64"/>
      <c r="G8" s="67"/>
      <c r="H8" s="64"/>
      <c r="I8" s="67"/>
      <c r="J8" s="64"/>
      <c r="K8" s="67"/>
      <c r="L8" s="67"/>
      <c r="M8" s="67">
        <v>23205</v>
      </c>
      <c r="N8" s="120">
        <v>445.02739726027397</v>
      </c>
      <c r="O8" s="380">
        <v>445.02739726027397</v>
      </c>
    </row>
    <row r="9" spans="1:15" ht="15" x14ac:dyDescent="0.25">
      <c r="A9" s="64" t="s">
        <v>1216</v>
      </c>
      <c r="B9" s="64">
        <v>752</v>
      </c>
      <c r="C9" s="64"/>
      <c r="D9" s="64"/>
      <c r="E9" s="67"/>
      <c r="F9" s="64"/>
      <c r="G9" s="67"/>
      <c r="H9" s="64"/>
      <c r="I9" s="67"/>
      <c r="J9" s="64"/>
      <c r="K9" s="67"/>
      <c r="L9" s="67"/>
      <c r="M9" s="67">
        <v>28247</v>
      </c>
      <c r="N9" s="120">
        <v>541.72328767123281</v>
      </c>
      <c r="O9" s="380">
        <v>541.72328767123281</v>
      </c>
    </row>
    <row r="10" spans="1:15" ht="15" x14ac:dyDescent="0.25">
      <c r="A10" s="64" t="s">
        <v>1217</v>
      </c>
      <c r="B10" s="64">
        <v>753</v>
      </c>
      <c r="C10" s="64"/>
      <c r="D10" s="64"/>
      <c r="E10" s="67"/>
      <c r="F10" s="64"/>
      <c r="G10" s="67"/>
      <c r="H10" s="64"/>
      <c r="I10" s="67"/>
      <c r="J10" s="64"/>
      <c r="K10" s="67"/>
      <c r="L10" s="67"/>
      <c r="M10" s="67">
        <v>37848</v>
      </c>
      <c r="N10" s="120">
        <v>725.85205479452054</v>
      </c>
      <c r="O10" s="380">
        <v>725.85205479452054</v>
      </c>
    </row>
    <row r="11" spans="1:15" ht="15" x14ac:dyDescent="0.25">
      <c r="A11" s="64" t="s">
        <v>1218</v>
      </c>
      <c r="B11" s="64">
        <v>754</v>
      </c>
      <c r="C11" s="64"/>
      <c r="D11" s="64"/>
      <c r="E11" s="67"/>
      <c r="F11" s="64"/>
      <c r="G11" s="67"/>
      <c r="H11" s="64"/>
      <c r="I11" s="67"/>
      <c r="J11" s="64"/>
      <c r="K11" s="67"/>
      <c r="L11" s="67"/>
      <c r="M11" s="67">
        <v>51351</v>
      </c>
      <c r="N11" s="120">
        <v>984.81369863013697</v>
      </c>
      <c r="O11" s="380">
        <v>984.81369863013697</v>
      </c>
    </row>
    <row r="12" spans="1:15" ht="15" x14ac:dyDescent="0.25">
      <c r="A12" s="64" t="s">
        <v>1219</v>
      </c>
      <c r="B12" s="64">
        <v>755</v>
      </c>
      <c r="C12" s="64"/>
      <c r="D12" s="64"/>
      <c r="E12" s="67"/>
      <c r="F12" s="64"/>
      <c r="G12" s="67"/>
      <c r="H12" s="64"/>
      <c r="I12" s="67"/>
      <c r="J12" s="64"/>
      <c r="K12" s="67"/>
      <c r="L12" s="67"/>
      <c r="M12" s="67">
        <v>51351</v>
      </c>
      <c r="N12" s="120">
        <v>984.81369863013697</v>
      </c>
      <c r="O12" s="380">
        <v>984.81369863013697</v>
      </c>
    </row>
    <row r="13" spans="1:15" ht="15" x14ac:dyDescent="0.25">
      <c r="A13" s="64" t="s">
        <v>1220</v>
      </c>
      <c r="B13" s="64">
        <v>756</v>
      </c>
      <c r="C13" s="64"/>
      <c r="D13" s="64"/>
      <c r="E13" s="67"/>
      <c r="F13" s="64"/>
      <c r="G13" s="67"/>
      <c r="H13" s="64"/>
      <c r="I13" s="67"/>
      <c r="J13" s="64"/>
      <c r="K13" s="67"/>
      <c r="L13" s="67"/>
      <c r="M13" s="67">
        <v>64324</v>
      </c>
      <c r="N13" s="120">
        <v>1233.6109589041096</v>
      </c>
      <c r="O13" s="380">
        <v>1233.6109589041096</v>
      </c>
    </row>
    <row r="14" spans="1:15" ht="15" x14ac:dyDescent="0.25">
      <c r="A14" s="64" t="s">
        <v>1221</v>
      </c>
      <c r="B14" s="64">
        <v>757</v>
      </c>
      <c r="C14" s="64"/>
      <c r="D14" s="64"/>
      <c r="E14" s="67"/>
      <c r="F14" s="64"/>
      <c r="G14" s="67"/>
      <c r="H14" s="64"/>
      <c r="I14" s="67"/>
      <c r="J14" s="64"/>
      <c r="K14" s="67"/>
      <c r="L14" s="67"/>
      <c r="M14" s="67">
        <v>76770</v>
      </c>
      <c r="N14" s="120">
        <v>1472.3013698630136</v>
      </c>
      <c r="O14" s="380">
        <v>1472.3013698630136</v>
      </c>
    </row>
    <row r="15" spans="1:15" ht="15" x14ac:dyDescent="0.25">
      <c r="A15" s="64" t="s">
        <v>1222</v>
      </c>
      <c r="B15" s="64">
        <v>191</v>
      </c>
      <c r="C15" s="64"/>
      <c r="D15" s="64"/>
      <c r="E15" s="67"/>
      <c r="F15" s="64"/>
      <c r="G15" s="67"/>
      <c r="H15" s="64"/>
      <c r="I15" s="67"/>
      <c r="J15" s="64"/>
      <c r="K15" s="67"/>
      <c r="L15" s="67"/>
      <c r="M15" s="67">
        <v>49229</v>
      </c>
      <c r="N15" s="120">
        <v>944.11780821917796</v>
      </c>
      <c r="O15" s="380">
        <v>944.11780821917796</v>
      </c>
    </row>
    <row r="16" spans="1:15" ht="15" x14ac:dyDescent="0.25">
      <c r="A16" s="64" t="s">
        <v>1223</v>
      </c>
      <c r="B16" s="64">
        <v>759</v>
      </c>
      <c r="C16" s="64"/>
      <c r="D16" s="64"/>
      <c r="E16" s="67"/>
      <c r="F16" s="64"/>
      <c r="G16" s="67"/>
      <c r="H16" s="64"/>
      <c r="I16" s="67"/>
      <c r="J16" s="64"/>
      <c r="K16" s="67"/>
      <c r="L16" s="67"/>
      <c r="M16" s="67">
        <v>83631</v>
      </c>
      <c r="N16" s="120">
        <v>1603.882191780822</v>
      </c>
      <c r="O16" s="380">
        <v>1603.882191780822</v>
      </c>
    </row>
    <row r="17" spans="1:15" ht="15" x14ac:dyDescent="0.25">
      <c r="A17" s="64" t="s">
        <v>1263</v>
      </c>
      <c r="B17" s="64">
        <v>860</v>
      </c>
      <c r="C17" s="64"/>
      <c r="D17" s="64"/>
      <c r="E17" s="67"/>
      <c r="F17" s="64"/>
      <c r="G17" s="67"/>
      <c r="H17" s="64"/>
      <c r="I17" s="67"/>
      <c r="J17" s="64"/>
      <c r="K17" s="67"/>
      <c r="L17" s="67"/>
      <c r="M17" s="67">
        <v>30587.608062555199</v>
      </c>
      <c r="O17" s="380">
        <v>586.61166147366134</v>
      </c>
    </row>
    <row r="18" spans="1:15" x14ac:dyDescent="0.3">
      <c r="A18" s="65" t="s">
        <v>1265</v>
      </c>
      <c r="B18" s="65">
        <v>862</v>
      </c>
      <c r="C18" s="65"/>
      <c r="D18" s="65"/>
      <c r="E18" s="68"/>
      <c r="F18" s="65"/>
      <c r="G18" s="68"/>
      <c r="H18" s="65"/>
      <c r="I18" s="68"/>
      <c r="J18" s="65"/>
      <c r="K18" s="68"/>
      <c r="L18" s="68"/>
      <c r="M18" s="433">
        <v>37093.608062555199</v>
      </c>
      <c r="O18" s="381">
        <v>711.38426421338738</v>
      </c>
    </row>
    <row r="19" spans="1:15" x14ac:dyDescent="0.3">
      <c r="A19" s="64" t="s">
        <v>1266</v>
      </c>
      <c r="B19" s="64">
        <v>864</v>
      </c>
      <c r="C19" s="64"/>
      <c r="D19" s="64"/>
      <c r="E19" s="67"/>
      <c r="F19" s="64"/>
      <c r="G19" s="67"/>
      <c r="H19" s="64"/>
      <c r="I19" s="67"/>
      <c r="J19" s="64"/>
      <c r="K19" s="67"/>
      <c r="L19" s="67"/>
      <c r="M19" s="67">
        <v>43559.608062555199</v>
      </c>
      <c r="O19" s="380">
        <v>835.38974366544221</v>
      </c>
    </row>
    <row r="20" spans="1:15" x14ac:dyDescent="0.3">
      <c r="A20" s="65" t="s">
        <v>1267</v>
      </c>
      <c r="B20" s="65">
        <v>766</v>
      </c>
      <c r="C20" s="65"/>
      <c r="D20" s="65"/>
      <c r="E20" s="68"/>
      <c r="F20" s="65"/>
      <c r="G20" s="68"/>
      <c r="H20" s="65"/>
      <c r="I20" s="68"/>
      <c r="J20" s="65"/>
      <c r="K20" s="68"/>
      <c r="L20" s="68"/>
      <c r="M20" s="433">
        <v>47234.608062555199</v>
      </c>
      <c r="O20" s="381">
        <v>905.8691957202368</v>
      </c>
    </row>
    <row r="21" spans="1:15" x14ac:dyDescent="0.3">
      <c r="A21" s="64" t="s">
        <v>1268</v>
      </c>
      <c r="B21" s="64">
        <v>768</v>
      </c>
      <c r="C21" s="64"/>
      <c r="D21" s="64"/>
      <c r="E21" s="67"/>
      <c r="F21" s="64"/>
      <c r="G21" s="67"/>
      <c r="H21" s="64"/>
      <c r="I21" s="67"/>
      <c r="J21" s="64"/>
      <c r="K21" s="67"/>
      <c r="L21" s="67"/>
      <c r="M21" s="67">
        <v>52629</v>
      </c>
      <c r="O21" s="380">
        <v>1009.3232876712329</v>
      </c>
    </row>
    <row r="22" spans="1:15" x14ac:dyDescent="0.3">
      <c r="A22" s="65" t="s">
        <v>1269</v>
      </c>
      <c r="B22" s="65">
        <v>770</v>
      </c>
      <c r="C22" s="65"/>
      <c r="D22" s="65"/>
      <c r="E22" s="68"/>
      <c r="F22" s="65"/>
      <c r="G22" s="68"/>
      <c r="H22" s="65"/>
      <c r="I22" s="68"/>
      <c r="J22" s="65"/>
      <c r="K22" s="68"/>
      <c r="L22" s="68"/>
      <c r="M22" s="433">
        <v>62801.608062555199</v>
      </c>
      <c r="O22" s="381">
        <v>1204.4144011996887</v>
      </c>
    </row>
    <row r="23" spans="1:15" x14ac:dyDescent="0.3">
      <c r="A23" s="64" t="s">
        <v>1270</v>
      </c>
      <c r="B23" s="64">
        <v>772</v>
      </c>
      <c r="C23" s="64"/>
      <c r="D23" s="64"/>
      <c r="E23" s="67"/>
      <c r="F23" s="64"/>
      <c r="G23" s="67"/>
      <c r="H23" s="64"/>
      <c r="I23" s="67"/>
      <c r="J23" s="64"/>
      <c r="K23" s="67"/>
      <c r="L23" s="67"/>
      <c r="M23" s="67">
        <v>74976</v>
      </c>
      <c r="O23" s="380">
        <v>1437.8958904109591</v>
      </c>
    </row>
    <row r="24" spans="1:15" x14ac:dyDescent="0.3">
      <c r="A24" s="64" t="s">
        <v>1238</v>
      </c>
      <c r="B24" s="64">
        <v>780</v>
      </c>
      <c r="C24" s="64"/>
      <c r="D24" s="64"/>
      <c r="E24" s="67"/>
      <c r="F24" s="64"/>
      <c r="G24" s="67"/>
      <c r="H24" s="64"/>
      <c r="I24" s="67"/>
      <c r="J24" s="64"/>
      <c r="K24" s="67"/>
      <c r="L24" s="67"/>
      <c r="M24" s="67">
        <v>29980</v>
      </c>
      <c r="O24" s="380">
        <v>574.95890410958896</v>
      </c>
    </row>
    <row r="25" spans="1:15" x14ac:dyDescent="0.3">
      <c r="A25" s="65" t="s">
        <v>1239</v>
      </c>
      <c r="B25" s="65">
        <v>781</v>
      </c>
      <c r="C25" s="65"/>
      <c r="D25" s="65"/>
      <c r="E25" s="68"/>
      <c r="F25" s="65"/>
      <c r="G25" s="68"/>
      <c r="H25" s="65"/>
      <c r="I25" s="68"/>
      <c r="J25" s="65"/>
      <c r="K25" s="68"/>
      <c r="L25" s="68"/>
      <c r="M25" s="433">
        <v>42953</v>
      </c>
      <c r="O25" s="381">
        <v>823.75616438356167</v>
      </c>
    </row>
    <row r="26" spans="1:15" x14ac:dyDescent="0.3">
      <c r="A26" s="64" t="s">
        <v>1240</v>
      </c>
      <c r="B26" s="64">
        <v>782</v>
      </c>
      <c r="C26" s="64"/>
      <c r="D26" s="64"/>
      <c r="E26" s="67"/>
      <c r="F26" s="64"/>
      <c r="G26" s="67"/>
      <c r="H26" s="64"/>
      <c r="I26" s="67"/>
      <c r="J26" s="64"/>
      <c r="K26" s="67"/>
      <c r="L26" s="67"/>
      <c r="M26" s="67">
        <v>51927</v>
      </c>
      <c r="O26" s="380">
        <v>995.86027397260273</v>
      </c>
    </row>
    <row r="27" spans="1:15" x14ac:dyDescent="0.3">
      <c r="A27" s="65" t="s">
        <v>1241</v>
      </c>
      <c r="B27" s="65">
        <v>783</v>
      </c>
      <c r="C27" s="65"/>
      <c r="D27" s="65"/>
      <c r="E27" s="68"/>
      <c r="F27" s="65"/>
      <c r="G27" s="68"/>
      <c r="H27" s="65"/>
      <c r="I27" s="68"/>
      <c r="J27" s="65"/>
      <c r="K27" s="68"/>
      <c r="L27" s="68"/>
      <c r="M27" s="433">
        <v>67368</v>
      </c>
      <c r="O27" s="381">
        <v>1291.9890410958906</v>
      </c>
    </row>
    <row r="28" spans="1:15" x14ac:dyDescent="0.3">
      <c r="A28" s="64" t="s">
        <v>1242</v>
      </c>
      <c r="B28" s="64">
        <v>784</v>
      </c>
      <c r="C28" s="64"/>
      <c r="D28" s="64"/>
      <c r="E28" s="67"/>
      <c r="F28" s="64"/>
      <c r="G28" s="67"/>
      <c r="H28" s="64"/>
      <c r="I28" s="67"/>
      <c r="J28" s="64"/>
      <c r="K28" s="67"/>
      <c r="L28" s="67"/>
      <c r="M28" s="67">
        <v>67368</v>
      </c>
      <c r="O28" s="380">
        <v>1291.9890410958906</v>
      </c>
    </row>
    <row r="29" spans="1:15" x14ac:dyDescent="0.3">
      <c r="A29" s="65" t="s">
        <v>1243</v>
      </c>
      <c r="B29" s="65">
        <v>790</v>
      </c>
      <c r="C29" s="65"/>
      <c r="D29" s="65"/>
      <c r="E29" s="68"/>
      <c r="F29" s="65"/>
      <c r="G29" s="68"/>
      <c r="H29" s="65"/>
      <c r="I29" s="68"/>
      <c r="J29" s="65"/>
      <c r="K29" s="68"/>
      <c r="L29" s="68"/>
      <c r="M29" s="433">
        <v>60587</v>
      </c>
      <c r="O29" s="381">
        <v>1161.9424657534246</v>
      </c>
    </row>
    <row r="30" spans="1:15" x14ac:dyDescent="0.3">
      <c r="A30" s="64" t="s">
        <v>1230</v>
      </c>
      <c r="B30" s="64">
        <v>800</v>
      </c>
      <c r="C30" s="64"/>
      <c r="D30" s="64"/>
      <c r="E30" s="67"/>
      <c r="F30" s="64"/>
      <c r="G30" s="67"/>
      <c r="H30" s="64"/>
      <c r="I30" s="67"/>
      <c r="J30" s="64"/>
      <c r="K30" s="67"/>
      <c r="L30" s="67"/>
      <c r="M30" s="67">
        <v>35459</v>
      </c>
      <c r="O30" s="380">
        <v>680.0356164383561</v>
      </c>
    </row>
    <row r="31" spans="1:15" x14ac:dyDescent="0.3">
      <c r="A31" s="65" t="s">
        <v>1231</v>
      </c>
      <c r="B31" s="65">
        <v>802</v>
      </c>
      <c r="C31" s="65"/>
      <c r="D31" s="65"/>
      <c r="E31" s="68"/>
      <c r="F31" s="65"/>
      <c r="G31" s="68"/>
      <c r="H31" s="65"/>
      <c r="I31" s="68"/>
      <c r="J31" s="65"/>
      <c r="K31" s="68"/>
      <c r="L31" s="68"/>
      <c r="M31" s="433">
        <v>41965</v>
      </c>
      <c r="O31" s="381">
        <v>804.80821917808225</v>
      </c>
    </row>
    <row r="32" spans="1:15" x14ac:dyDescent="0.3">
      <c r="A32" s="64" t="s">
        <v>1232</v>
      </c>
      <c r="B32" s="64">
        <v>804</v>
      </c>
      <c r="C32" s="64"/>
      <c r="D32" s="64"/>
      <c r="E32" s="67"/>
      <c r="F32" s="64"/>
      <c r="G32" s="67"/>
      <c r="H32" s="64"/>
      <c r="I32" s="67"/>
      <c r="J32" s="64"/>
      <c r="K32" s="67"/>
      <c r="L32" s="67"/>
      <c r="M32" s="67">
        <v>47835</v>
      </c>
      <c r="O32" s="380">
        <v>917.38356164383561</v>
      </c>
    </row>
    <row r="33" spans="1:15" x14ac:dyDescent="0.3">
      <c r="A33" s="65" t="s">
        <v>1233</v>
      </c>
      <c r="B33" s="65">
        <v>806</v>
      </c>
      <c r="C33" s="65"/>
      <c r="D33" s="65"/>
      <c r="E33" s="68"/>
      <c r="F33" s="65"/>
      <c r="G33" s="68"/>
      <c r="H33" s="65"/>
      <c r="I33" s="68"/>
      <c r="J33" s="65"/>
      <c r="K33" s="68"/>
      <c r="L33" s="68"/>
      <c r="M33" s="433">
        <v>52503</v>
      </c>
      <c r="O33" s="381">
        <v>1006.9068493150685</v>
      </c>
    </row>
    <row r="34" spans="1:15" x14ac:dyDescent="0.3">
      <c r="A34" s="64" t="s">
        <v>1234</v>
      </c>
      <c r="B34" s="64">
        <v>808</v>
      </c>
      <c r="C34" s="64"/>
      <c r="D34" s="64"/>
      <c r="E34" s="67"/>
      <c r="F34" s="64"/>
      <c r="G34" s="67"/>
      <c r="H34" s="64"/>
      <c r="I34" s="67"/>
      <c r="J34" s="64"/>
      <c r="K34" s="67"/>
      <c r="L34" s="67"/>
      <c r="M34" s="67">
        <v>66954</v>
      </c>
      <c r="O34" s="380">
        <v>1284.0493150684931</v>
      </c>
    </row>
    <row r="35" spans="1:15" x14ac:dyDescent="0.3">
      <c r="A35" s="65" t="s">
        <v>1235</v>
      </c>
      <c r="B35" s="65">
        <v>810</v>
      </c>
      <c r="C35" s="65"/>
      <c r="D35" s="65"/>
      <c r="E35" s="68"/>
      <c r="F35" s="65"/>
      <c r="G35" s="68"/>
      <c r="H35" s="65"/>
      <c r="I35" s="68"/>
      <c r="J35" s="65"/>
      <c r="K35" s="68"/>
      <c r="L35" s="68"/>
      <c r="M35" s="433">
        <v>62965</v>
      </c>
      <c r="O35" s="381">
        <v>1207.5479452054797</v>
      </c>
    </row>
    <row r="36" spans="1:15" x14ac:dyDescent="0.3">
      <c r="A36" s="64" t="s">
        <v>1236</v>
      </c>
      <c r="B36" s="64">
        <v>812</v>
      </c>
      <c r="C36" s="64"/>
      <c r="D36" s="64"/>
      <c r="E36" s="67"/>
      <c r="F36" s="64"/>
      <c r="G36" s="67"/>
      <c r="H36" s="64"/>
      <c r="I36" s="67"/>
      <c r="J36" s="64"/>
      <c r="K36" s="67"/>
      <c r="L36" s="67"/>
      <c r="M36" s="67">
        <v>83583</v>
      </c>
      <c r="O36" s="380">
        <v>1602.9616438356163</v>
      </c>
    </row>
    <row r="37" spans="1:15" x14ac:dyDescent="0.3">
      <c r="A37" s="65" t="s">
        <v>1237</v>
      </c>
      <c r="B37" s="65">
        <v>814</v>
      </c>
      <c r="C37" s="65"/>
      <c r="D37" s="65"/>
      <c r="E37" s="68"/>
      <c r="F37" s="65"/>
      <c r="G37" s="68"/>
      <c r="H37" s="65"/>
      <c r="I37" s="68"/>
      <c r="J37" s="65"/>
      <c r="K37" s="68"/>
      <c r="L37" s="68"/>
      <c r="M37" s="433">
        <v>73666</v>
      </c>
      <c r="O37" s="381">
        <v>1412.7726027397259</v>
      </c>
    </row>
    <row r="38" spans="1:15" x14ac:dyDescent="0.3">
      <c r="A38" s="64" t="s">
        <v>1198</v>
      </c>
      <c r="B38" s="64">
        <v>820</v>
      </c>
      <c r="C38" s="64"/>
      <c r="D38" s="64"/>
      <c r="E38" s="67"/>
      <c r="F38" s="64"/>
      <c r="G38" s="67"/>
      <c r="H38" s="64"/>
      <c r="I38" s="67"/>
      <c r="J38" s="64"/>
      <c r="K38" s="67"/>
      <c r="L38" s="67"/>
      <c r="M38" s="67">
        <v>46037</v>
      </c>
      <c r="O38" s="380">
        <v>882.90136986301377</v>
      </c>
    </row>
    <row r="39" spans="1:15" x14ac:dyDescent="0.3">
      <c r="A39" s="65" t="s">
        <v>1199</v>
      </c>
      <c r="B39" s="65">
        <v>822</v>
      </c>
      <c r="C39" s="65"/>
      <c r="D39" s="65"/>
      <c r="E39" s="68"/>
      <c r="F39" s="65"/>
      <c r="G39" s="68"/>
      <c r="H39" s="65"/>
      <c r="I39" s="68"/>
      <c r="J39" s="65"/>
      <c r="K39" s="68"/>
      <c r="L39" s="68"/>
      <c r="M39" s="433">
        <v>55011</v>
      </c>
      <c r="O39" s="381">
        <v>1055.0054794520547</v>
      </c>
    </row>
    <row r="40" spans="1:15" x14ac:dyDescent="0.3">
      <c r="A40" s="64" t="s">
        <v>1200</v>
      </c>
      <c r="B40" s="64">
        <v>824</v>
      </c>
      <c r="C40" s="64"/>
      <c r="D40" s="64"/>
      <c r="E40" s="67"/>
      <c r="F40" s="64"/>
      <c r="G40" s="67"/>
      <c r="H40" s="64"/>
      <c r="I40" s="67"/>
      <c r="J40" s="64"/>
      <c r="K40" s="67"/>
      <c r="L40" s="67"/>
      <c r="M40" s="67">
        <v>51182</v>
      </c>
      <c r="O40" s="380">
        <v>981.57260273972599</v>
      </c>
    </row>
    <row r="41" spans="1:15" x14ac:dyDescent="0.3">
      <c r="A41" s="65" t="s">
        <v>1201</v>
      </c>
      <c r="B41" s="65">
        <v>826</v>
      </c>
      <c r="C41" s="65"/>
      <c r="D41" s="65"/>
      <c r="E41" s="68"/>
      <c r="F41" s="65"/>
      <c r="G41" s="68"/>
      <c r="H41" s="65"/>
      <c r="I41" s="68"/>
      <c r="J41" s="65"/>
      <c r="K41" s="68"/>
      <c r="L41" s="68"/>
      <c r="M41" s="433">
        <v>55011</v>
      </c>
      <c r="O41" s="381">
        <v>1055.0054794520547</v>
      </c>
    </row>
    <row r="42" spans="1:15" x14ac:dyDescent="0.3">
      <c r="A42" s="64" t="s">
        <v>1202</v>
      </c>
      <c r="B42" s="64">
        <v>828</v>
      </c>
      <c r="C42" s="64"/>
      <c r="D42" s="64"/>
      <c r="E42" s="67"/>
      <c r="F42" s="64"/>
      <c r="G42" s="67"/>
      <c r="H42" s="64"/>
      <c r="I42" s="67"/>
      <c r="J42" s="64"/>
      <c r="K42" s="67"/>
      <c r="L42" s="67"/>
      <c r="M42" s="67">
        <v>65363</v>
      </c>
      <c r="O42" s="380">
        <v>1253.5369863013698</v>
      </c>
    </row>
    <row r="43" spans="1:15" x14ac:dyDescent="0.3">
      <c r="A43" s="65" t="s">
        <v>1203</v>
      </c>
      <c r="B43" s="65">
        <v>830</v>
      </c>
      <c r="C43" s="65"/>
      <c r="D43" s="65"/>
      <c r="E43" s="68"/>
      <c r="F43" s="65"/>
      <c r="G43" s="68"/>
      <c r="H43" s="65"/>
      <c r="I43" s="68"/>
      <c r="J43" s="65"/>
      <c r="K43" s="68"/>
      <c r="L43" s="68"/>
      <c r="M43" s="433">
        <v>71788</v>
      </c>
      <c r="O43" s="381">
        <v>1376.7561643835616</v>
      </c>
    </row>
    <row r="44" spans="1:15" x14ac:dyDescent="0.3">
      <c r="A44" s="64" t="s">
        <v>1204</v>
      </c>
      <c r="B44" s="64">
        <v>832</v>
      </c>
      <c r="C44" s="64"/>
      <c r="D44" s="64"/>
      <c r="E44" s="69"/>
      <c r="F44" s="64"/>
      <c r="G44" s="67"/>
      <c r="H44" s="64"/>
      <c r="I44" s="67"/>
      <c r="J44" s="64"/>
      <c r="K44" s="67"/>
      <c r="L44" s="67"/>
      <c r="M44" s="67">
        <v>75580</v>
      </c>
      <c r="O44" s="380">
        <v>1449.4794520547946</v>
      </c>
    </row>
    <row r="45" spans="1:15" x14ac:dyDescent="0.3">
      <c r="A45" s="65" t="s">
        <v>1209</v>
      </c>
      <c r="B45" s="65">
        <v>840</v>
      </c>
      <c r="C45" s="65"/>
      <c r="D45" s="65"/>
      <c r="E45" s="68"/>
      <c r="F45" s="65"/>
      <c r="G45" s="68"/>
      <c r="H45" s="65"/>
      <c r="I45" s="68"/>
      <c r="J45" s="65"/>
      <c r="K45" s="68"/>
      <c r="L45" s="68"/>
      <c r="M45" s="433">
        <v>38133</v>
      </c>
      <c r="O45" s="381">
        <v>731.317808219178</v>
      </c>
    </row>
    <row r="46" spans="1:15" x14ac:dyDescent="0.3">
      <c r="A46" s="64" t="s">
        <v>1210</v>
      </c>
      <c r="B46" s="64">
        <v>842</v>
      </c>
      <c r="C46" s="64"/>
      <c r="D46" s="64"/>
      <c r="E46" s="67"/>
      <c r="F46" s="64"/>
      <c r="G46" s="67"/>
      <c r="H46" s="64"/>
      <c r="I46" s="67"/>
      <c r="J46" s="64"/>
      <c r="K46" s="67"/>
      <c r="L46" s="67"/>
      <c r="M46" s="67">
        <v>48431</v>
      </c>
      <c r="O46" s="380">
        <v>928.81369863013697</v>
      </c>
    </row>
    <row r="47" spans="1:15" x14ac:dyDescent="0.3">
      <c r="A47" s="65" t="s">
        <v>1211</v>
      </c>
      <c r="B47" s="65">
        <v>844</v>
      </c>
      <c r="C47" s="65"/>
      <c r="D47" s="65"/>
      <c r="E47" s="68"/>
      <c r="F47" s="65"/>
      <c r="G47" s="68"/>
      <c r="H47" s="65"/>
      <c r="I47" s="68"/>
      <c r="J47" s="65"/>
      <c r="K47" s="68"/>
      <c r="L47" s="68"/>
      <c r="M47" s="433">
        <v>56700</v>
      </c>
      <c r="O47" s="381">
        <v>1087.3972602739725</v>
      </c>
    </row>
    <row r="48" spans="1:15" x14ac:dyDescent="0.3">
      <c r="A48" s="64" t="s">
        <v>1212</v>
      </c>
      <c r="B48" s="64">
        <v>846</v>
      </c>
      <c r="C48" s="64"/>
      <c r="D48" s="64"/>
      <c r="E48" s="67"/>
      <c r="F48" s="64"/>
      <c r="G48" s="67"/>
      <c r="H48" s="64"/>
      <c r="I48" s="67"/>
      <c r="J48" s="64"/>
      <c r="K48" s="67"/>
      <c r="L48" s="67"/>
      <c r="M48" s="67">
        <v>76733</v>
      </c>
      <c r="O48" s="380">
        <v>1471.5917808219178</v>
      </c>
    </row>
    <row r="49" spans="1:15" x14ac:dyDescent="0.3">
      <c r="A49" s="65" t="s">
        <v>1213</v>
      </c>
      <c r="B49" s="65">
        <v>848</v>
      </c>
      <c r="C49" s="65"/>
      <c r="D49" s="65"/>
      <c r="E49" s="68"/>
      <c r="F49" s="65"/>
      <c r="G49" s="68"/>
      <c r="H49" s="65"/>
      <c r="I49" s="68"/>
      <c r="J49" s="65"/>
      <c r="K49" s="68"/>
      <c r="L49" s="68"/>
      <c r="M49" s="433">
        <v>83240</v>
      </c>
      <c r="O49" s="381">
        <v>1596.3835616438355</v>
      </c>
    </row>
    <row r="50" spans="1:15" x14ac:dyDescent="0.3">
      <c r="A50" s="64" t="s">
        <v>1205</v>
      </c>
      <c r="B50" s="64">
        <v>850</v>
      </c>
      <c r="C50" s="64"/>
      <c r="D50" s="64"/>
      <c r="E50" s="67"/>
      <c r="F50" s="64"/>
      <c r="G50" s="67"/>
      <c r="H50" s="64"/>
      <c r="I50" s="67"/>
      <c r="J50" s="64"/>
      <c r="K50" s="67"/>
      <c r="L50" s="67"/>
      <c r="M50" s="67">
        <v>53188</v>
      </c>
      <c r="O50" s="380">
        <v>1020.0438356164384</v>
      </c>
    </row>
    <row r="51" spans="1:15" x14ac:dyDescent="0.3">
      <c r="A51" s="65" t="s">
        <v>1206</v>
      </c>
      <c r="B51" s="65">
        <v>852</v>
      </c>
      <c r="C51" s="65"/>
      <c r="D51" s="65"/>
      <c r="E51" s="68"/>
      <c r="F51" s="65"/>
      <c r="G51" s="68"/>
      <c r="H51" s="65"/>
      <c r="I51" s="68"/>
      <c r="J51" s="65"/>
      <c r="K51" s="68"/>
      <c r="L51" s="68"/>
      <c r="M51" s="433">
        <v>95456</v>
      </c>
      <c r="O51" s="381">
        <v>1830.66301369863</v>
      </c>
    </row>
    <row r="52" spans="1:15" x14ac:dyDescent="0.3">
      <c r="A52" s="64" t="s">
        <v>1207</v>
      </c>
      <c r="B52" s="64">
        <v>854</v>
      </c>
      <c r="C52" s="64"/>
      <c r="D52" s="64"/>
      <c r="E52" s="67"/>
      <c r="F52" s="64"/>
      <c r="G52" s="67"/>
      <c r="H52" s="64"/>
      <c r="I52" s="67"/>
      <c r="J52" s="64"/>
      <c r="K52" s="67"/>
      <c r="L52" s="67"/>
      <c r="M52" s="67">
        <v>113064</v>
      </c>
      <c r="O52" s="380">
        <v>2168.3506849315072</v>
      </c>
    </row>
    <row r="53" spans="1:15" x14ac:dyDescent="0.3">
      <c r="A53" s="65" t="s">
        <v>1208</v>
      </c>
      <c r="B53" s="65">
        <v>856</v>
      </c>
      <c r="C53" s="65"/>
      <c r="D53" s="65"/>
      <c r="E53" s="68"/>
      <c r="F53" s="65"/>
      <c r="G53" s="68"/>
      <c r="H53" s="65"/>
      <c r="I53" s="68"/>
      <c r="J53" s="65"/>
      <c r="K53" s="68"/>
      <c r="L53" s="68"/>
      <c r="M53" s="433">
        <v>71931</v>
      </c>
      <c r="O53" s="381">
        <v>1379.4986301369863</v>
      </c>
    </row>
    <row r="55" spans="1:15" x14ac:dyDescent="0.3">
      <c r="A55" s="71"/>
    </row>
  </sheetData>
  <sheetProtection algorithmName="SHA-512" hashValue="woPThSQmuu7U41z7TQYpnL1Y1BlZ2cdoT7ffgPJnepXIAZj/e/Ba0J3kf+rervCX9bUvUVdQCpUSOEIs9njqpg==" saltValue="pmKwPe4ovUzW1DmR0AMDKw==" spinCount="100000" sheet="1" objects="1" scenarios="1"/>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3"/>
  <dimension ref="A1:K730"/>
  <sheetViews>
    <sheetView topLeftCell="B1" workbookViewId="0">
      <selection activeCell="A12" sqref="A12"/>
    </sheetView>
  </sheetViews>
  <sheetFormatPr defaultColWidth="9.33203125" defaultRowHeight="14.4" x14ac:dyDescent="0.3"/>
  <cols>
    <col min="1" max="1" width="68.6640625" style="120" bestFit="1" customWidth="1"/>
    <col min="2" max="2" width="23.6640625" style="120" customWidth="1"/>
    <col min="3" max="4" width="10.33203125" style="120" bestFit="1" customWidth="1"/>
    <col min="5" max="5" width="8.33203125" style="120" bestFit="1" customWidth="1"/>
    <col min="6" max="16384" width="9.33203125" style="120"/>
  </cols>
  <sheetData>
    <row r="1" spans="1:5" s="100" customFormat="1" ht="15" x14ac:dyDescent="0.25">
      <c r="A1" s="26" t="s">
        <v>3362</v>
      </c>
      <c r="B1" s="282" t="s">
        <v>13</v>
      </c>
      <c r="C1" s="41">
        <v>11.93</v>
      </c>
      <c r="D1" s="41"/>
      <c r="E1" s="417"/>
    </row>
    <row r="2" spans="1:5" s="100" customFormat="1" ht="15" customHeight="1" x14ac:dyDescent="0.25">
      <c r="A2" s="26" t="s">
        <v>1644</v>
      </c>
      <c r="B2" s="282" t="s">
        <v>26</v>
      </c>
      <c r="C2" s="41">
        <v>71.48</v>
      </c>
      <c r="D2" s="41"/>
      <c r="E2" s="417"/>
    </row>
    <row r="3" spans="1:5" s="100" customFormat="1" ht="15" customHeight="1" x14ac:dyDescent="0.25">
      <c r="A3" s="26" t="s">
        <v>3363</v>
      </c>
      <c r="B3" s="282" t="s">
        <v>44</v>
      </c>
      <c r="C3" s="41">
        <v>89.66</v>
      </c>
      <c r="D3" s="41"/>
      <c r="E3" s="417"/>
    </row>
    <row r="4" spans="1:5" s="100" customFormat="1" ht="15" x14ac:dyDescent="0.25">
      <c r="A4" s="26" t="s">
        <v>3364</v>
      </c>
      <c r="B4" s="282" t="s">
        <v>28</v>
      </c>
      <c r="C4" s="41">
        <v>71.48</v>
      </c>
      <c r="D4" s="41"/>
      <c r="E4" s="417"/>
    </row>
    <row r="5" spans="1:5" s="100" customFormat="1" ht="15" x14ac:dyDescent="0.25">
      <c r="A5" s="26" t="s">
        <v>3365</v>
      </c>
      <c r="B5" s="282" t="s">
        <v>1797</v>
      </c>
      <c r="C5" s="41">
        <v>32.39</v>
      </c>
      <c r="D5" s="41"/>
      <c r="E5" s="417"/>
    </row>
    <row r="6" spans="1:5" s="100" customFormat="1" ht="15" x14ac:dyDescent="0.25">
      <c r="A6" s="26" t="s">
        <v>3366</v>
      </c>
      <c r="B6" s="282" t="s">
        <v>34</v>
      </c>
      <c r="C6" s="41">
        <v>71.48</v>
      </c>
      <c r="D6" s="41"/>
      <c r="E6" s="417"/>
    </row>
    <row r="7" spans="1:5" s="100" customFormat="1" ht="15" x14ac:dyDescent="0.25">
      <c r="A7" s="26" t="s">
        <v>1648</v>
      </c>
      <c r="B7" s="282" t="s">
        <v>38</v>
      </c>
      <c r="C7" s="41">
        <v>54.96</v>
      </c>
      <c r="D7" s="41"/>
      <c r="E7" s="417"/>
    </row>
    <row r="8" spans="1:5" s="100" customFormat="1" ht="15" x14ac:dyDescent="0.25">
      <c r="A8" s="26" t="s">
        <v>3367</v>
      </c>
      <c r="B8" s="282" t="s">
        <v>42</v>
      </c>
      <c r="C8" s="41">
        <v>58.87</v>
      </c>
      <c r="D8" s="41"/>
      <c r="E8" s="417"/>
    </row>
    <row r="9" spans="1:5" s="100" customFormat="1" ht="15" x14ac:dyDescent="0.25">
      <c r="A9" s="26" t="s">
        <v>3368</v>
      </c>
      <c r="B9" s="282" t="s">
        <v>20</v>
      </c>
      <c r="C9" s="41">
        <v>76.569999999999993</v>
      </c>
      <c r="D9" s="41"/>
      <c r="E9" s="417"/>
    </row>
    <row r="10" spans="1:5" s="100" customFormat="1" ht="15" x14ac:dyDescent="0.25">
      <c r="A10" s="26" t="s">
        <v>1665</v>
      </c>
      <c r="B10" s="282" t="s">
        <v>548</v>
      </c>
      <c r="C10" s="41">
        <v>51.68</v>
      </c>
      <c r="D10" s="41"/>
      <c r="E10" s="417"/>
    </row>
    <row r="11" spans="1:5" s="100" customFormat="1" ht="15" x14ac:dyDescent="0.25">
      <c r="A11" s="26" t="s">
        <v>3369</v>
      </c>
      <c r="B11" s="282" t="s">
        <v>46</v>
      </c>
      <c r="C11" s="41">
        <v>54.96</v>
      </c>
      <c r="D11" s="41"/>
      <c r="E11" s="417"/>
    </row>
    <row r="12" spans="1:5" s="100" customFormat="1" ht="15" x14ac:dyDescent="0.25">
      <c r="A12" s="26" t="s">
        <v>3370</v>
      </c>
      <c r="B12" s="282" t="s">
        <v>40</v>
      </c>
      <c r="C12" s="41">
        <v>54.96</v>
      </c>
      <c r="D12" s="41"/>
      <c r="E12" s="417"/>
    </row>
    <row r="13" spans="1:5" s="100" customFormat="1" ht="15" x14ac:dyDescent="0.25">
      <c r="A13" s="26" t="s">
        <v>1736</v>
      </c>
      <c r="B13" s="282" t="s">
        <v>36</v>
      </c>
      <c r="C13" s="41">
        <v>65.930000000000007</v>
      </c>
      <c r="D13" s="41"/>
      <c r="E13" s="417"/>
    </row>
    <row r="14" spans="1:5" s="100" customFormat="1" ht="15" x14ac:dyDescent="0.25">
      <c r="A14" s="26" t="s">
        <v>1653</v>
      </c>
      <c r="B14" s="282" t="s">
        <v>22</v>
      </c>
      <c r="C14" s="41">
        <v>98.2</v>
      </c>
      <c r="D14" s="41"/>
      <c r="E14" s="417"/>
    </row>
    <row r="15" spans="1:5" s="100" customFormat="1" ht="15" x14ac:dyDescent="0.25">
      <c r="A15" s="26" t="s">
        <v>1737</v>
      </c>
      <c r="B15" s="282" t="s">
        <v>32</v>
      </c>
      <c r="C15" s="41">
        <v>105.29</v>
      </c>
      <c r="D15" s="41"/>
      <c r="E15" s="417"/>
    </row>
    <row r="16" spans="1:5" s="100" customFormat="1" ht="15" x14ac:dyDescent="0.25">
      <c r="A16" s="26" t="s">
        <v>1666</v>
      </c>
      <c r="B16" s="282" t="s">
        <v>528</v>
      </c>
      <c r="C16" s="41">
        <v>97.16</v>
      </c>
      <c r="D16" s="41"/>
      <c r="E16" s="417"/>
    </row>
    <row r="17" spans="1:5" s="100" customFormat="1" ht="15" x14ac:dyDescent="0.25">
      <c r="A17" s="26" t="s">
        <v>1652</v>
      </c>
      <c r="B17" s="282" t="s">
        <v>24</v>
      </c>
      <c r="C17" s="41">
        <v>61.56</v>
      </c>
      <c r="D17" s="41"/>
      <c r="E17" s="417"/>
    </row>
    <row r="18" spans="1:5" s="100" customFormat="1" ht="15" x14ac:dyDescent="0.25">
      <c r="A18" s="26" t="s">
        <v>3371</v>
      </c>
      <c r="B18" s="282" t="s">
        <v>504</v>
      </c>
      <c r="C18" s="41">
        <v>109.32</v>
      </c>
      <c r="D18" s="41"/>
      <c r="E18" s="417"/>
    </row>
    <row r="19" spans="1:5" s="100" customFormat="1" ht="15" x14ac:dyDescent="0.25">
      <c r="A19" s="26" t="s">
        <v>1655</v>
      </c>
      <c r="B19" s="282" t="s">
        <v>486</v>
      </c>
      <c r="C19" s="41">
        <v>134.36000000000001</v>
      </c>
      <c r="D19" s="41"/>
      <c r="E19" s="417"/>
    </row>
    <row r="20" spans="1:5" s="100" customFormat="1" ht="15" x14ac:dyDescent="0.25">
      <c r="A20" s="26" t="s">
        <v>3372</v>
      </c>
      <c r="B20" s="282" t="s">
        <v>522</v>
      </c>
      <c r="C20" s="41">
        <v>91.29</v>
      </c>
      <c r="D20" s="41"/>
      <c r="E20" s="417"/>
    </row>
    <row r="21" spans="1:5" s="100" customFormat="1" ht="15" x14ac:dyDescent="0.25">
      <c r="A21" s="26" t="s">
        <v>1657</v>
      </c>
      <c r="B21" s="282" t="s">
        <v>562</v>
      </c>
      <c r="C21" s="41">
        <v>116.36</v>
      </c>
      <c r="D21" s="41"/>
      <c r="E21" s="417"/>
    </row>
    <row r="22" spans="1:5" s="100" customFormat="1" ht="15" x14ac:dyDescent="0.25">
      <c r="A22" s="26" t="s">
        <v>3373</v>
      </c>
      <c r="B22" s="282" t="s">
        <v>30</v>
      </c>
      <c r="C22" s="41">
        <v>61.56</v>
      </c>
      <c r="D22" s="41"/>
      <c r="E22" s="417"/>
    </row>
    <row r="23" spans="1:5" s="100" customFormat="1" ht="15" x14ac:dyDescent="0.25">
      <c r="A23" s="26" t="s">
        <v>3374</v>
      </c>
      <c r="B23" s="282" t="s">
        <v>425</v>
      </c>
      <c r="C23" s="41">
        <v>29.57</v>
      </c>
      <c r="D23" s="41"/>
      <c r="E23" s="417"/>
    </row>
    <row r="24" spans="1:5" s="100" customFormat="1" ht="15" x14ac:dyDescent="0.25">
      <c r="A24" s="26" t="s">
        <v>1670</v>
      </c>
      <c r="B24" s="282" t="s">
        <v>395</v>
      </c>
      <c r="C24" s="41">
        <v>127.83</v>
      </c>
      <c r="D24" s="41"/>
      <c r="E24" s="417"/>
    </row>
    <row r="25" spans="1:5" s="100" customFormat="1" ht="15" x14ac:dyDescent="0.25">
      <c r="A25" s="26" t="s">
        <v>3375</v>
      </c>
      <c r="B25" s="282" t="s">
        <v>419</v>
      </c>
      <c r="C25" s="41">
        <v>127.83</v>
      </c>
      <c r="D25" s="41"/>
      <c r="E25" s="417"/>
    </row>
    <row r="26" spans="1:5" s="100" customFormat="1" x14ac:dyDescent="0.3">
      <c r="A26" s="26" t="s">
        <v>3376</v>
      </c>
      <c r="B26" s="282" t="s">
        <v>411</v>
      </c>
      <c r="C26" s="41">
        <v>127.83</v>
      </c>
      <c r="D26" s="41"/>
      <c r="E26" s="417"/>
    </row>
    <row r="27" spans="1:5" s="100" customFormat="1" x14ac:dyDescent="0.3">
      <c r="A27" s="26" t="s">
        <v>1661</v>
      </c>
      <c r="B27" s="282" t="s">
        <v>403</v>
      </c>
      <c r="C27" s="41">
        <v>126.07</v>
      </c>
      <c r="D27" s="41"/>
      <c r="E27" s="417"/>
    </row>
    <row r="28" spans="1:5" s="100" customFormat="1" x14ac:dyDescent="0.3">
      <c r="A28" s="26" t="s">
        <v>1662</v>
      </c>
      <c r="B28" s="282" t="s">
        <v>437</v>
      </c>
      <c r="C28" s="41">
        <v>89.55</v>
      </c>
      <c r="D28" s="41"/>
      <c r="E28" s="417"/>
    </row>
    <row r="29" spans="1:5" s="100" customFormat="1" x14ac:dyDescent="0.3">
      <c r="A29" s="26" t="s">
        <v>1663</v>
      </c>
      <c r="B29" s="282" t="s">
        <v>397</v>
      </c>
      <c r="C29" s="41">
        <v>132.69999999999999</v>
      </c>
      <c r="D29" s="41"/>
      <c r="E29" s="417"/>
    </row>
    <row r="30" spans="1:5" s="100" customFormat="1" x14ac:dyDescent="0.3">
      <c r="A30" s="26" t="s">
        <v>3377</v>
      </c>
      <c r="B30" s="282" t="s">
        <v>421</v>
      </c>
      <c r="C30" s="41">
        <v>144.87</v>
      </c>
      <c r="D30" s="41"/>
      <c r="E30" s="417"/>
    </row>
    <row r="31" spans="1:5" s="100" customFormat="1" x14ac:dyDescent="0.3">
      <c r="A31" s="26" t="s">
        <v>3378</v>
      </c>
      <c r="B31" s="282" t="s">
        <v>423</v>
      </c>
      <c r="C31" s="41">
        <v>128.44</v>
      </c>
      <c r="D31" s="41"/>
      <c r="E31" s="417"/>
    </row>
    <row r="32" spans="1:5" s="100" customFormat="1" x14ac:dyDescent="0.3">
      <c r="A32" s="26" t="s">
        <v>3379</v>
      </c>
      <c r="B32" s="282" t="s">
        <v>431</v>
      </c>
      <c r="C32" s="41">
        <v>115.32</v>
      </c>
      <c r="D32" s="41"/>
      <c r="E32" s="417"/>
    </row>
    <row r="33" spans="1:5" s="100" customFormat="1" x14ac:dyDescent="0.3">
      <c r="A33" s="26" t="s">
        <v>1739</v>
      </c>
      <c r="B33" s="282" t="s">
        <v>1733</v>
      </c>
      <c r="C33" s="41">
        <v>157.27000000000001</v>
      </c>
      <c r="D33" s="41"/>
      <c r="E33" s="417"/>
    </row>
    <row r="34" spans="1:5" s="100" customFormat="1" x14ac:dyDescent="0.3">
      <c r="A34" s="26" t="s">
        <v>1740</v>
      </c>
      <c r="B34" s="282" t="s">
        <v>1734</v>
      </c>
      <c r="C34" s="41">
        <v>157.27000000000001</v>
      </c>
      <c r="D34" s="41"/>
      <c r="E34" s="417"/>
    </row>
    <row r="35" spans="1:5" s="102" customFormat="1" x14ac:dyDescent="0.3">
      <c r="A35" s="26" t="s">
        <v>3380</v>
      </c>
      <c r="B35" s="282" t="s">
        <v>1847</v>
      </c>
      <c r="C35" s="41">
        <v>23.99</v>
      </c>
      <c r="D35" s="41"/>
      <c r="E35" s="417"/>
    </row>
    <row r="36" spans="1:5" s="100" customFormat="1" x14ac:dyDescent="0.3">
      <c r="A36" s="26" t="s">
        <v>1741</v>
      </c>
      <c r="B36" s="282" t="s">
        <v>7</v>
      </c>
      <c r="C36" s="41">
        <v>39.4</v>
      </c>
      <c r="D36" s="41"/>
      <c r="E36" s="417"/>
    </row>
    <row r="37" spans="1:5" s="100" customFormat="1" x14ac:dyDescent="0.3">
      <c r="A37" s="26" t="s">
        <v>1742</v>
      </c>
      <c r="B37" s="282" t="s">
        <v>490</v>
      </c>
      <c r="C37" s="41">
        <v>56.5</v>
      </c>
      <c r="D37" s="41"/>
      <c r="E37" s="417"/>
    </row>
    <row r="38" spans="1:5" s="100" customFormat="1" x14ac:dyDescent="0.3">
      <c r="A38" s="26" t="s">
        <v>3381</v>
      </c>
      <c r="B38" s="282" t="s">
        <v>520</v>
      </c>
      <c r="C38" s="41">
        <v>54.56</v>
      </c>
      <c r="D38" s="41"/>
      <c r="E38" s="417"/>
    </row>
    <row r="39" spans="1:5" s="100" customFormat="1" x14ac:dyDescent="0.3">
      <c r="A39" s="26" t="s">
        <v>1638</v>
      </c>
      <c r="B39" s="282" t="s">
        <v>427</v>
      </c>
      <c r="C39" s="41">
        <v>73.069999999999993</v>
      </c>
      <c r="D39" s="41"/>
      <c r="E39" s="417"/>
    </row>
    <row r="40" spans="1:5" s="100" customFormat="1" x14ac:dyDescent="0.3">
      <c r="A40" s="26" t="s">
        <v>3382</v>
      </c>
      <c r="B40" s="282" t="s">
        <v>435</v>
      </c>
      <c r="C40" s="41">
        <v>7.35</v>
      </c>
      <c r="D40" s="41"/>
      <c r="E40" s="417"/>
    </row>
    <row r="41" spans="1:5" s="100" customFormat="1" x14ac:dyDescent="0.3">
      <c r="A41" s="26" t="s">
        <v>3383</v>
      </c>
      <c r="B41" s="282" t="s">
        <v>500</v>
      </c>
      <c r="C41" s="41">
        <v>37.32</v>
      </c>
      <c r="D41" s="41"/>
      <c r="E41" s="417"/>
    </row>
    <row r="42" spans="1:5" s="100" customFormat="1" x14ac:dyDescent="0.3">
      <c r="A42" s="26" t="s">
        <v>3384</v>
      </c>
      <c r="B42" s="282" t="s">
        <v>524</v>
      </c>
      <c r="C42" s="41">
        <v>52.68</v>
      </c>
      <c r="D42" s="41"/>
      <c r="E42" s="417"/>
    </row>
    <row r="43" spans="1:5" s="100" customFormat="1" x14ac:dyDescent="0.3">
      <c r="A43" s="26" t="s">
        <v>3385</v>
      </c>
      <c r="B43" s="282" t="s">
        <v>546</v>
      </c>
      <c r="C43" s="41">
        <v>90.07</v>
      </c>
      <c r="D43" s="41"/>
      <c r="E43" s="417"/>
    </row>
    <row r="44" spans="1:5" s="100" customFormat="1" x14ac:dyDescent="0.3">
      <c r="A44" s="26" t="s">
        <v>3386</v>
      </c>
      <c r="B44" s="282" t="s">
        <v>550</v>
      </c>
      <c r="C44" s="41">
        <v>70.03</v>
      </c>
      <c r="D44" s="41"/>
      <c r="E44" s="417"/>
    </row>
    <row r="45" spans="1:5" s="100" customFormat="1" x14ac:dyDescent="0.3">
      <c r="A45" s="26" t="s">
        <v>3387</v>
      </c>
      <c r="B45" s="282" t="s">
        <v>502</v>
      </c>
      <c r="C45" s="41">
        <v>86.31</v>
      </c>
      <c r="D45" s="41"/>
      <c r="E45" s="417"/>
    </row>
    <row r="46" spans="1:5" s="100" customFormat="1" x14ac:dyDescent="0.3">
      <c r="A46" s="26" t="s">
        <v>3388</v>
      </c>
      <c r="B46" s="282" t="s">
        <v>536</v>
      </c>
      <c r="C46" s="41">
        <v>128.76</v>
      </c>
      <c r="D46" s="41"/>
      <c r="E46" s="417"/>
    </row>
    <row r="47" spans="1:5" s="100" customFormat="1" x14ac:dyDescent="0.3">
      <c r="A47" s="26" t="s">
        <v>3389</v>
      </c>
      <c r="B47" s="282" t="s">
        <v>399</v>
      </c>
      <c r="C47" s="41">
        <v>149.02000000000001</v>
      </c>
      <c r="D47" s="41"/>
      <c r="E47" s="417"/>
    </row>
    <row r="48" spans="1:5" s="100" customFormat="1" x14ac:dyDescent="0.3">
      <c r="A48" s="26" t="s">
        <v>3390</v>
      </c>
      <c r="B48" s="282" t="s">
        <v>556</v>
      </c>
      <c r="C48" s="41">
        <v>128.76</v>
      </c>
      <c r="D48" s="41"/>
      <c r="E48" s="417"/>
    </row>
    <row r="49" spans="1:5" s="100" customFormat="1" x14ac:dyDescent="0.3">
      <c r="A49" s="26" t="s">
        <v>3391</v>
      </c>
      <c r="B49" s="282" t="s">
        <v>409</v>
      </c>
      <c r="C49" s="41">
        <v>108.62</v>
      </c>
      <c r="D49" s="41"/>
      <c r="E49" s="417"/>
    </row>
    <row r="50" spans="1:5" s="100" customFormat="1" x14ac:dyDescent="0.3">
      <c r="A50" s="26" t="s">
        <v>3392</v>
      </c>
      <c r="B50" s="282" t="s">
        <v>392</v>
      </c>
      <c r="C50" s="41">
        <v>106.04</v>
      </c>
      <c r="D50" s="41"/>
      <c r="E50" s="417"/>
    </row>
    <row r="51" spans="1:5" s="100" customFormat="1" x14ac:dyDescent="0.3">
      <c r="A51" s="26" t="s">
        <v>3393</v>
      </c>
      <c r="B51" s="282" t="s">
        <v>390</v>
      </c>
      <c r="C51" s="41">
        <v>149.02000000000001</v>
      </c>
      <c r="D51" s="41"/>
      <c r="E51" s="417"/>
    </row>
    <row r="52" spans="1:5" s="100" customFormat="1" x14ac:dyDescent="0.3">
      <c r="A52" s="26" t="s">
        <v>3394</v>
      </c>
      <c r="B52" s="282" t="s">
        <v>401</v>
      </c>
      <c r="C52" s="41">
        <v>177.37</v>
      </c>
      <c r="D52" s="41"/>
      <c r="E52" s="417"/>
    </row>
    <row r="53" spans="1:5" s="100" customFormat="1" x14ac:dyDescent="0.3">
      <c r="A53" s="26" t="s">
        <v>3395</v>
      </c>
      <c r="B53" s="282" t="s">
        <v>540</v>
      </c>
      <c r="C53" s="41">
        <v>53.36</v>
      </c>
      <c r="D53" s="41"/>
      <c r="E53" s="417"/>
    </row>
    <row r="54" spans="1:5" s="100" customFormat="1" x14ac:dyDescent="0.3">
      <c r="A54" s="26" t="s">
        <v>3396</v>
      </c>
      <c r="B54" s="282" t="s">
        <v>492</v>
      </c>
      <c r="C54" s="41">
        <v>62.59</v>
      </c>
      <c r="D54" s="41"/>
      <c r="E54" s="417"/>
    </row>
    <row r="55" spans="1:5" s="100" customFormat="1" x14ac:dyDescent="0.3">
      <c r="A55" s="26" t="s">
        <v>3397</v>
      </c>
      <c r="B55" s="282" t="s">
        <v>518</v>
      </c>
      <c r="C55" s="41">
        <v>68.64</v>
      </c>
      <c r="D55" s="41"/>
      <c r="E55" s="417"/>
    </row>
    <row r="56" spans="1:5" s="100" customFormat="1" x14ac:dyDescent="0.3">
      <c r="A56" s="26" t="s">
        <v>3398</v>
      </c>
      <c r="B56" s="282" t="s">
        <v>560</v>
      </c>
      <c r="C56" s="41">
        <v>76.47</v>
      </c>
      <c r="D56" s="41"/>
      <c r="E56" s="417"/>
    </row>
    <row r="57" spans="1:5" s="100" customFormat="1" x14ac:dyDescent="0.3">
      <c r="A57" s="26" t="s">
        <v>3399</v>
      </c>
      <c r="B57" s="282" t="s">
        <v>510</v>
      </c>
      <c r="C57" s="41">
        <v>88.62</v>
      </c>
      <c r="D57" s="41"/>
      <c r="E57" s="417"/>
    </row>
    <row r="58" spans="1:5" s="100" customFormat="1" x14ac:dyDescent="0.3">
      <c r="A58" s="26" t="s">
        <v>3400</v>
      </c>
      <c r="B58" s="282" t="s">
        <v>554</v>
      </c>
      <c r="C58" s="41">
        <v>106.72</v>
      </c>
      <c r="D58" s="41"/>
      <c r="E58" s="417"/>
    </row>
    <row r="59" spans="1:5" s="100" customFormat="1" x14ac:dyDescent="0.3">
      <c r="A59" s="26" t="s">
        <v>3401</v>
      </c>
      <c r="B59" s="282" t="s">
        <v>405</v>
      </c>
      <c r="C59" s="41">
        <v>78.67</v>
      </c>
      <c r="D59" s="41"/>
      <c r="E59" s="417"/>
    </row>
    <row r="60" spans="1:5" s="100" customFormat="1" x14ac:dyDescent="0.3">
      <c r="A60" s="26" t="s">
        <v>3402</v>
      </c>
      <c r="B60" s="282" t="s">
        <v>417</v>
      </c>
      <c r="C60" s="41">
        <v>85.81</v>
      </c>
      <c r="D60" s="41"/>
      <c r="E60" s="417"/>
    </row>
    <row r="61" spans="1:5" s="100" customFormat="1" x14ac:dyDescent="0.3">
      <c r="A61" s="26" t="s">
        <v>3403</v>
      </c>
      <c r="B61" s="282" t="s">
        <v>407</v>
      </c>
      <c r="C61" s="41">
        <v>90.2</v>
      </c>
      <c r="D61" s="41"/>
      <c r="E61" s="417"/>
    </row>
    <row r="62" spans="1:5" s="100" customFormat="1" x14ac:dyDescent="0.3">
      <c r="A62" s="26" t="s">
        <v>3404</v>
      </c>
      <c r="B62" s="282" t="s">
        <v>542</v>
      </c>
      <c r="C62" s="41">
        <v>53.52</v>
      </c>
      <c r="D62" s="41"/>
      <c r="E62" s="417"/>
    </row>
    <row r="63" spans="1:5" s="100" customFormat="1" x14ac:dyDescent="0.3">
      <c r="A63" s="26" t="s">
        <v>3405</v>
      </c>
      <c r="B63" s="282" t="s">
        <v>532</v>
      </c>
      <c r="C63" s="41">
        <v>64.430000000000007</v>
      </c>
      <c r="D63" s="41"/>
      <c r="E63" s="417"/>
    </row>
    <row r="64" spans="1:5" s="100" customFormat="1" x14ac:dyDescent="0.3">
      <c r="A64" s="26" t="s">
        <v>3406</v>
      </c>
      <c r="B64" s="282" t="s">
        <v>498</v>
      </c>
      <c r="C64" s="41">
        <v>76.84</v>
      </c>
      <c r="D64" s="41"/>
      <c r="E64" s="417"/>
    </row>
    <row r="65" spans="1:11" s="100" customFormat="1" x14ac:dyDescent="0.3">
      <c r="A65" s="26" t="s">
        <v>3407</v>
      </c>
      <c r="B65" s="282" t="s">
        <v>530</v>
      </c>
      <c r="C65" s="41">
        <v>81.94</v>
      </c>
      <c r="D65" s="41"/>
      <c r="E65" s="417"/>
    </row>
    <row r="66" spans="1:11" s="100" customFormat="1" x14ac:dyDescent="0.3">
      <c r="A66" s="26" t="s">
        <v>3408</v>
      </c>
      <c r="B66" s="282" t="s">
        <v>516</v>
      </c>
      <c r="C66" s="41">
        <v>98.93</v>
      </c>
      <c r="D66" s="41"/>
      <c r="E66" s="417"/>
    </row>
    <row r="67" spans="1:11" s="100" customFormat="1" x14ac:dyDescent="0.3">
      <c r="A67" s="26" t="s">
        <v>3409</v>
      </c>
      <c r="B67" s="282" t="s">
        <v>494</v>
      </c>
      <c r="C67" s="41">
        <v>120.68</v>
      </c>
      <c r="D67" s="41"/>
      <c r="E67" s="417"/>
    </row>
    <row r="68" spans="1:11" s="100" customFormat="1" x14ac:dyDescent="0.3">
      <c r="A68" s="26" t="s">
        <v>3410</v>
      </c>
      <c r="B68" s="282" t="s">
        <v>512</v>
      </c>
      <c r="C68" s="41">
        <v>41.87</v>
      </c>
      <c r="D68" s="41"/>
      <c r="E68" s="417"/>
    </row>
    <row r="69" spans="1:11" s="100" customFormat="1" x14ac:dyDescent="0.3">
      <c r="A69" s="26" t="s">
        <v>3411</v>
      </c>
      <c r="B69" s="282" t="s">
        <v>534</v>
      </c>
      <c r="C69" s="41">
        <v>47.74</v>
      </c>
      <c r="D69" s="41"/>
      <c r="E69" s="417"/>
    </row>
    <row r="70" spans="1:11" s="100" customFormat="1" x14ac:dyDescent="0.3">
      <c r="A70" s="26" t="s">
        <v>3412</v>
      </c>
      <c r="B70" s="282" t="s">
        <v>526</v>
      </c>
      <c r="C70" s="41">
        <v>52.13</v>
      </c>
      <c r="D70" s="41"/>
      <c r="E70" s="417"/>
    </row>
    <row r="71" spans="1:11" s="100" customFormat="1" x14ac:dyDescent="0.3">
      <c r="A71" s="26" t="s">
        <v>3413</v>
      </c>
      <c r="B71" s="282" t="s">
        <v>506</v>
      </c>
      <c r="C71" s="41">
        <v>69.02</v>
      </c>
      <c r="D71" s="41"/>
      <c r="E71" s="417"/>
    </row>
    <row r="72" spans="1:11" s="100" customFormat="1" x14ac:dyDescent="0.3">
      <c r="A72" s="26" t="s">
        <v>3414</v>
      </c>
      <c r="B72" s="282" t="s">
        <v>538</v>
      </c>
      <c r="C72" s="41">
        <v>79.97</v>
      </c>
      <c r="D72" s="41"/>
      <c r="E72" s="417"/>
    </row>
    <row r="73" spans="1:11" s="100" customFormat="1" x14ac:dyDescent="0.3">
      <c r="A73" s="26" t="s">
        <v>3415</v>
      </c>
      <c r="B73" s="282" t="s">
        <v>496</v>
      </c>
      <c r="C73" s="41">
        <v>98.13</v>
      </c>
      <c r="D73" s="41"/>
      <c r="E73" s="417"/>
    </row>
    <row r="74" spans="1:11" s="100" customFormat="1" x14ac:dyDescent="0.3">
      <c r="A74" s="26" t="s">
        <v>3416</v>
      </c>
      <c r="B74" s="282" t="s">
        <v>415</v>
      </c>
      <c r="C74" s="41">
        <v>139.54</v>
      </c>
      <c r="D74" s="41"/>
      <c r="E74" s="417"/>
    </row>
    <row r="75" spans="1:11" s="100" customFormat="1" x14ac:dyDescent="0.3">
      <c r="A75" s="26" t="s">
        <v>3556</v>
      </c>
      <c r="B75" s="282" t="s">
        <v>3546</v>
      </c>
      <c r="C75" s="41">
        <v>11.97</v>
      </c>
      <c r="D75" s="41"/>
    </row>
    <row r="76" spans="1:11" s="100" customFormat="1" x14ac:dyDescent="0.3">
      <c r="A76" s="26" t="s">
        <v>3557</v>
      </c>
      <c r="B76" s="282" t="s">
        <v>3548</v>
      </c>
      <c r="C76" s="41">
        <v>16.91</v>
      </c>
      <c r="D76" s="41"/>
    </row>
    <row r="77" spans="1:11" s="100" customFormat="1" x14ac:dyDescent="0.3">
      <c r="A77" s="26" t="s">
        <v>3558</v>
      </c>
      <c r="B77" s="282" t="s">
        <v>3550</v>
      </c>
      <c r="C77" s="41">
        <v>26.79</v>
      </c>
      <c r="D77" s="41"/>
    </row>
    <row r="78" spans="1:11" s="100" customFormat="1" x14ac:dyDescent="0.3">
      <c r="A78" s="26" t="s">
        <v>3559</v>
      </c>
      <c r="B78" s="282" t="s">
        <v>3552</v>
      </c>
      <c r="C78" s="41">
        <v>46.04</v>
      </c>
      <c r="D78" s="41"/>
    </row>
    <row r="79" spans="1:11" s="100" customFormat="1" x14ac:dyDescent="0.3">
      <c r="A79" s="26" t="s">
        <v>3560</v>
      </c>
      <c r="B79" s="282" t="s">
        <v>3554</v>
      </c>
      <c r="C79" s="41">
        <v>66.069999999999993</v>
      </c>
      <c r="D79" s="41"/>
    </row>
    <row r="80" spans="1:11" s="100" customFormat="1" x14ac:dyDescent="0.3">
      <c r="A80" s="420" t="s">
        <v>1800</v>
      </c>
      <c r="B80" s="421" t="s">
        <v>2553</v>
      </c>
      <c r="C80" s="422">
        <v>272.67</v>
      </c>
      <c r="D80" s="422"/>
      <c r="E80" s="102" t="s">
        <v>3505</v>
      </c>
      <c r="F80" s="423">
        <v>320.12</v>
      </c>
      <c r="G80" s="102" t="s">
        <v>3506</v>
      </c>
      <c r="H80" s="102"/>
      <c r="I80" s="102"/>
      <c r="J80" s="374"/>
      <c r="K80" s="418"/>
    </row>
    <row r="81" spans="1:11" s="100" customFormat="1" x14ac:dyDescent="0.3">
      <c r="A81" s="420" t="s">
        <v>1801</v>
      </c>
      <c r="B81" s="421" t="s">
        <v>2557</v>
      </c>
      <c r="C81" s="422">
        <v>264.11</v>
      </c>
      <c r="D81" s="422"/>
      <c r="E81" s="102" t="s">
        <v>3505</v>
      </c>
      <c r="F81" s="423">
        <v>311.56</v>
      </c>
      <c r="G81" s="102" t="s">
        <v>3506</v>
      </c>
      <c r="H81" s="102"/>
      <c r="I81" s="102"/>
      <c r="J81" s="374"/>
      <c r="K81" s="418"/>
    </row>
    <row r="82" spans="1:11" s="100" customFormat="1" x14ac:dyDescent="0.3">
      <c r="A82" s="420" t="s">
        <v>1802</v>
      </c>
      <c r="B82" s="421" t="s">
        <v>2561</v>
      </c>
      <c r="C82" s="422">
        <v>384.05</v>
      </c>
      <c r="D82" s="422"/>
      <c r="E82" s="102" t="s">
        <v>3505</v>
      </c>
      <c r="F82" s="423">
        <v>435.16</v>
      </c>
      <c r="G82" s="102" t="s">
        <v>3506</v>
      </c>
      <c r="H82" s="102"/>
      <c r="I82" s="102"/>
      <c r="J82" s="374"/>
      <c r="K82" s="418"/>
    </row>
    <row r="83" spans="1:11" s="100" customFormat="1" x14ac:dyDescent="0.3">
      <c r="A83" s="420" t="s">
        <v>1803</v>
      </c>
      <c r="B83" s="421" t="s">
        <v>2565</v>
      </c>
      <c r="C83" s="422">
        <v>215.37</v>
      </c>
      <c r="D83" s="422"/>
      <c r="E83" s="102" t="s">
        <v>3505</v>
      </c>
      <c r="F83" s="423">
        <v>257.91000000000003</v>
      </c>
      <c r="G83" s="102" t="s">
        <v>3506</v>
      </c>
      <c r="H83" s="102"/>
      <c r="I83" s="102"/>
      <c r="J83" s="374"/>
      <c r="K83" s="418"/>
    </row>
    <row r="84" spans="1:11" s="100" customFormat="1" x14ac:dyDescent="0.3">
      <c r="A84" s="420" t="s">
        <v>1799</v>
      </c>
      <c r="B84" s="421" t="s">
        <v>2549</v>
      </c>
      <c r="C84" s="422">
        <v>238.28</v>
      </c>
      <c r="D84" s="422"/>
      <c r="E84" s="102" t="s">
        <v>3505</v>
      </c>
      <c r="F84" s="423">
        <v>285.73</v>
      </c>
      <c r="G84" s="102" t="s">
        <v>3506</v>
      </c>
      <c r="H84" s="102"/>
      <c r="I84" s="102"/>
      <c r="J84" s="374"/>
      <c r="K84" s="418"/>
    </row>
    <row r="85" spans="1:11" s="100" customFormat="1" x14ac:dyDescent="0.3">
      <c r="A85" s="282"/>
      <c r="B85" s="120"/>
      <c r="C85" s="101"/>
      <c r="D85" s="101"/>
      <c r="E85" s="282"/>
    </row>
    <row r="86" spans="1:11" x14ac:dyDescent="0.3">
      <c r="B86" s="282"/>
      <c r="D86" s="122"/>
      <c r="E86" s="122"/>
      <c r="F86" s="122"/>
      <c r="G86" s="374"/>
      <c r="H86" s="374"/>
    </row>
    <row r="87" spans="1:11" x14ac:dyDescent="0.3">
      <c r="B87" s="282"/>
      <c r="D87" s="122"/>
      <c r="E87" s="122"/>
      <c r="F87" s="122"/>
      <c r="G87" s="374"/>
      <c r="H87" s="374"/>
    </row>
    <row r="88" spans="1:11" x14ac:dyDescent="0.3">
      <c r="B88" s="282"/>
      <c r="D88" s="122"/>
      <c r="E88" s="122"/>
      <c r="F88" s="122"/>
      <c r="G88" s="374"/>
      <c r="H88" s="374"/>
    </row>
    <row r="89" spans="1:11" x14ac:dyDescent="0.3">
      <c r="B89" s="282"/>
      <c r="D89" s="122"/>
      <c r="E89" s="122"/>
      <c r="F89" s="122"/>
      <c r="G89" s="374"/>
      <c r="H89" s="374"/>
    </row>
    <row r="90" spans="1:11" x14ac:dyDescent="0.3">
      <c r="B90" s="282"/>
      <c r="D90" s="122"/>
      <c r="E90" s="122"/>
      <c r="F90" s="122"/>
      <c r="G90" s="374"/>
      <c r="H90" s="374"/>
    </row>
    <row r="91" spans="1:11" s="100" customFormat="1" x14ac:dyDescent="0.3">
      <c r="C91" s="101"/>
      <c r="D91" s="101"/>
      <c r="E91" s="282"/>
    </row>
    <row r="92" spans="1:11" s="100" customFormat="1" x14ac:dyDescent="0.3">
      <c r="C92" s="101"/>
      <c r="D92" s="101"/>
      <c r="E92" s="282"/>
    </row>
    <row r="93" spans="1:11" s="100" customFormat="1" x14ac:dyDescent="0.3">
      <c r="C93" s="101"/>
      <c r="D93" s="101"/>
      <c r="E93" s="282"/>
    </row>
    <row r="94" spans="1:11" s="100" customFormat="1" x14ac:dyDescent="0.3">
      <c r="C94" s="101"/>
      <c r="D94" s="101"/>
      <c r="E94" s="282"/>
    </row>
    <row r="95" spans="1:11" s="100" customFormat="1" x14ac:dyDescent="0.3">
      <c r="C95" s="101"/>
      <c r="D95" s="101"/>
      <c r="E95" s="282"/>
    </row>
    <row r="96" spans="1:11" s="100" customFormat="1" x14ac:dyDescent="0.3">
      <c r="C96" s="101"/>
      <c r="D96" s="101"/>
      <c r="E96" s="282"/>
    </row>
    <row r="97" spans="3:5" s="100" customFormat="1" x14ac:dyDescent="0.3">
      <c r="C97" s="101"/>
      <c r="D97" s="101"/>
      <c r="E97" s="282"/>
    </row>
    <row r="98" spans="3:5" s="100" customFormat="1" x14ac:dyDescent="0.3">
      <c r="C98" s="101"/>
      <c r="D98" s="101"/>
      <c r="E98" s="282"/>
    </row>
    <row r="99" spans="3:5" s="100" customFormat="1" x14ac:dyDescent="0.3">
      <c r="C99" s="101"/>
      <c r="D99" s="101"/>
      <c r="E99" s="282"/>
    </row>
    <row r="100" spans="3:5" s="100" customFormat="1" x14ac:dyDescent="0.3">
      <c r="C100" s="101"/>
      <c r="D100" s="101"/>
      <c r="E100" s="282"/>
    </row>
    <row r="101" spans="3:5" s="100" customFormat="1" x14ac:dyDescent="0.3">
      <c r="C101" s="101"/>
      <c r="D101" s="101"/>
      <c r="E101" s="282"/>
    </row>
    <row r="102" spans="3:5" s="100" customFormat="1" x14ac:dyDescent="0.3">
      <c r="C102" s="101"/>
      <c r="D102" s="101"/>
      <c r="E102" s="282"/>
    </row>
    <row r="103" spans="3:5" s="100" customFormat="1" x14ac:dyDescent="0.3">
      <c r="C103" s="101"/>
      <c r="D103" s="101"/>
      <c r="E103" s="282"/>
    </row>
    <row r="104" spans="3:5" s="100" customFormat="1" x14ac:dyDescent="0.3">
      <c r="C104" s="101"/>
      <c r="D104" s="101"/>
      <c r="E104" s="282"/>
    </row>
    <row r="105" spans="3:5" s="100" customFormat="1" x14ac:dyDescent="0.3">
      <c r="C105" s="101"/>
      <c r="D105" s="101"/>
      <c r="E105" s="282"/>
    </row>
    <row r="106" spans="3:5" s="100" customFormat="1" x14ac:dyDescent="0.3">
      <c r="C106" s="101"/>
      <c r="D106" s="101"/>
      <c r="E106" s="282"/>
    </row>
    <row r="107" spans="3:5" s="100" customFormat="1" x14ac:dyDescent="0.3">
      <c r="C107" s="101"/>
      <c r="D107" s="101"/>
      <c r="E107" s="282"/>
    </row>
    <row r="108" spans="3:5" s="100" customFormat="1" x14ac:dyDescent="0.3">
      <c r="C108" s="101"/>
      <c r="D108" s="101"/>
      <c r="E108" s="282"/>
    </row>
    <row r="109" spans="3:5" s="100" customFormat="1" x14ac:dyDescent="0.3">
      <c r="C109" s="101"/>
      <c r="D109" s="101"/>
      <c r="E109" s="282"/>
    </row>
    <row r="110" spans="3:5" s="100" customFormat="1" x14ac:dyDescent="0.3">
      <c r="C110" s="101"/>
      <c r="D110" s="101"/>
      <c r="E110" s="282"/>
    </row>
    <row r="111" spans="3:5" s="100" customFormat="1" x14ac:dyDescent="0.3">
      <c r="C111" s="101"/>
      <c r="D111" s="101"/>
      <c r="E111" s="282"/>
    </row>
    <row r="112" spans="3:5" s="100" customFormat="1" x14ac:dyDescent="0.3">
      <c r="C112" s="101"/>
      <c r="D112" s="101"/>
      <c r="E112" s="282"/>
    </row>
    <row r="113" spans="3:5" s="100" customFormat="1" x14ac:dyDescent="0.3">
      <c r="C113" s="101"/>
      <c r="D113" s="101"/>
      <c r="E113" s="282"/>
    </row>
    <row r="114" spans="3:5" s="100" customFormat="1" x14ac:dyDescent="0.3">
      <c r="C114" s="101"/>
      <c r="D114" s="101"/>
      <c r="E114" s="282"/>
    </row>
    <row r="115" spans="3:5" s="100" customFormat="1" x14ac:dyDescent="0.3">
      <c r="C115" s="101"/>
      <c r="D115" s="101"/>
      <c r="E115" s="282"/>
    </row>
    <row r="116" spans="3:5" s="100" customFormat="1" x14ac:dyDescent="0.3">
      <c r="C116" s="101"/>
      <c r="D116" s="101"/>
      <c r="E116" s="282"/>
    </row>
    <row r="117" spans="3:5" s="100" customFormat="1" x14ac:dyDescent="0.3">
      <c r="C117" s="101"/>
      <c r="D117" s="101"/>
      <c r="E117" s="282"/>
    </row>
    <row r="118" spans="3:5" s="100" customFormat="1" x14ac:dyDescent="0.3">
      <c r="C118" s="101"/>
      <c r="D118" s="101"/>
      <c r="E118" s="282"/>
    </row>
    <row r="119" spans="3:5" s="100" customFormat="1" x14ac:dyDescent="0.3">
      <c r="C119" s="101"/>
      <c r="D119" s="101"/>
      <c r="E119" s="282"/>
    </row>
    <row r="120" spans="3:5" s="100" customFormat="1" x14ac:dyDescent="0.3">
      <c r="C120" s="101"/>
      <c r="D120" s="101"/>
      <c r="E120" s="282"/>
    </row>
    <row r="121" spans="3:5" s="100" customFormat="1" x14ac:dyDescent="0.3">
      <c r="C121" s="101"/>
      <c r="D121" s="101"/>
      <c r="E121" s="282"/>
    </row>
    <row r="122" spans="3:5" s="100" customFormat="1" x14ac:dyDescent="0.3">
      <c r="C122" s="101"/>
      <c r="D122" s="101"/>
      <c r="E122" s="282"/>
    </row>
    <row r="123" spans="3:5" s="100" customFormat="1" x14ac:dyDescent="0.3">
      <c r="C123" s="101"/>
      <c r="D123" s="101"/>
      <c r="E123" s="282"/>
    </row>
    <row r="124" spans="3:5" s="100" customFormat="1" x14ac:dyDescent="0.3">
      <c r="C124" s="101"/>
      <c r="D124" s="101"/>
      <c r="E124" s="282"/>
    </row>
    <row r="125" spans="3:5" s="100" customFormat="1" x14ac:dyDescent="0.3">
      <c r="C125" s="101"/>
      <c r="D125" s="101"/>
      <c r="E125" s="282"/>
    </row>
    <row r="126" spans="3:5" s="100" customFormat="1" x14ac:dyDescent="0.3">
      <c r="C126" s="101"/>
      <c r="D126" s="101"/>
      <c r="E126" s="282"/>
    </row>
    <row r="127" spans="3:5" s="100" customFormat="1" x14ac:dyDescent="0.3">
      <c r="C127" s="101"/>
      <c r="D127" s="101"/>
      <c r="E127" s="282"/>
    </row>
    <row r="128" spans="3:5" s="100" customFormat="1" x14ac:dyDescent="0.3">
      <c r="C128" s="101"/>
      <c r="D128" s="101"/>
      <c r="E128" s="282"/>
    </row>
    <row r="129" spans="1:5" s="100" customFormat="1" x14ac:dyDescent="0.3">
      <c r="C129" s="101"/>
      <c r="D129" s="101"/>
      <c r="E129" s="282"/>
    </row>
    <row r="130" spans="1:5" s="100" customFormat="1" x14ac:dyDescent="0.3">
      <c r="C130" s="101"/>
      <c r="D130" s="101"/>
      <c r="E130" s="282"/>
    </row>
    <row r="131" spans="1:5" s="100" customFormat="1" x14ac:dyDescent="0.3">
      <c r="C131" s="101"/>
      <c r="D131" s="101"/>
      <c r="E131" s="282"/>
    </row>
    <row r="132" spans="1:5" s="100" customFormat="1" x14ac:dyDescent="0.3">
      <c r="C132" s="101"/>
      <c r="D132" s="101"/>
      <c r="E132" s="282"/>
    </row>
    <row r="133" spans="1:5" s="102" customFormat="1" x14ac:dyDescent="0.3">
      <c r="E133" s="282"/>
    </row>
    <row r="134" spans="1:5" s="102" customFormat="1" x14ac:dyDescent="0.3">
      <c r="E134" s="282"/>
    </row>
    <row r="135" spans="1:5" s="102" customFormat="1" x14ac:dyDescent="0.3">
      <c r="E135" s="282"/>
    </row>
    <row r="136" spans="1:5" s="102" customFormat="1" x14ac:dyDescent="0.3">
      <c r="E136" s="282"/>
    </row>
    <row r="137" spans="1:5" s="102" customFormat="1" x14ac:dyDescent="0.3">
      <c r="E137" s="282"/>
    </row>
    <row r="138" spans="1:5" s="26" customFormat="1" x14ac:dyDescent="0.3">
      <c r="A138" s="84"/>
      <c r="B138" s="84"/>
    </row>
    <row r="139" spans="1:5" s="26" customFormat="1" x14ac:dyDescent="0.3">
      <c r="A139" s="84"/>
      <c r="B139" s="84"/>
    </row>
    <row r="140" spans="1:5" s="26" customFormat="1" x14ac:dyDescent="0.3">
      <c r="A140" s="84"/>
      <c r="B140" s="84"/>
    </row>
    <row r="141" spans="1:5" s="26" customFormat="1" x14ac:dyDescent="0.3">
      <c r="A141" s="84"/>
      <c r="B141" s="84"/>
    </row>
    <row r="142" spans="1:5" s="26" customFormat="1" x14ac:dyDescent="0.3">
      <c r="A142" s="84"/>
      <c r="B142" s="84"/>
    </row>
    <row r="143" spans="1:5" s="26" customFormat="1" x14ac:dyDescent="0.3">
      <c r="A143" s="84"/>
      <c r="B143" s="84"/>
    </row>
    <row r="144" spans="1:5" s="26" customFormat="1" x14ac:dyDescent="0.3">
      <c r="A144" s="84"/>
      <c r="B144" s="84"/>
    </row>
    <row r="145" spans="1:2" s="26" customFormat="1" x14ac:dyDescent="0.3">
      <c r="A145" s="84"/>
      <c r="B145" s="84"/>
    </row>
    <row r="146" spans="1:2" s="26" customFormat="1" x14ac:dyDescent="0.3">
      <c r="A146" s="84"/>
      <c r="B146" s="84"/>
    </row>
    <row r="147" spans="1:2" s="26" customFormat="1" x14ac:dyDescent="0.3">
      <c r="A147" s="84"/>
      <c r="B147" s="84"/>
    </row>
    <row r="148" spans="1:2" s="26" customFormat="1" x14ac:dyDescent="0.3">
      <c r="A148" s="84"/>
      <c r="B148" s="84"/>
    </row>
    <row r="149" spans="1:2" s="26" customFormat="1" x14ac:dyDescent="0.3">
      <c r="A149" s="84"/>
      <c r="B149" s="84"/>
    </row>
    <row r="150" spans="1:2" s="26" customFormat="1" x14ac:dyDescent="0.3">
      <c r="A150" s="84"/>
      <c r="B150" s="84"/>
    </row>
    <row r="151" spans="1:2" s="26" customFormat="1" x14ac:dyDescent="0.3">
      <c r="A151" s="84"/>
      <c r="B151" s="84"/>
    </row>
    <row r="152" spans="1:2" s="26" customFormat="1" x14ac:dyDescent="0.3">
      <c r="A152" s="84"/>
      <c r="B152" s="84"/>
    </row>
    <row r="153" spans="1:2" s="26" customFormat="1" x14ac:dyDescent="0.3">
      <c r="A153" s="84"/>
      <c r="B153" s="84"/>
    </row>
    <row r="154" spans="1:2" s="26" customFormat="1" x14ac:dyDescent="0.3">
      <c r="A154" s="84"/>
      <c r="B154" s="84"/>
    </row>
    <row r="155" spans="1:2" s="26" customFormat="1" x14ac:dyDescent="0.3">
      <c r="A155" s="84"/>
      <c r="B155" s="84"/>
    </row>
    <row r="156" spans="1:2" s="26" customFormat="1" x14ac:dyDescent="0.3">
      <c r="A156" s="84"/>
      <c r="B156" s="84"/>
    </row>
    <row r="157" spans="1:2" s="26" customFormat="1" x14ac:dyDescent="0.3">
      <c r="A157" s="84"/>
      <c r="B157" s="84"/>
    </row>
    <row r="158" spans="1:2" s="26" customFormat="1" x14ac:dyDescent="0.3">
      <c r="A158" s="84"/>
      <c r="B158" s="84"/>
    </row>
    <row r="159" spans="1:2" s="26" customFormat="1" x14ac:dyDescent="0.3">
      <c r="A159" s="84"/>
      <c r="B159" s="84"/>
    </row>
    <row r="160" spans="1:2" s="26" customFormat="1" x14ac:dyDescent="0.3">
      <c r="A160" s="84"/>
      <c r="B160" s="84"/>
    </row>
    <row r="161" spans="1:2" s="26" customFormat="1" x14ac:dyDescent="0.3">
      <c r="A161" s="84"/>
      <c r="B161" s="84"/>
    </row>
    <row r="162" spans="1:2" s="26" customFormat="1" x14ac:dyDescent="0.3">
      <c r="A162" s="84"/>
      <c r="B162" s="84"/>
    </row>
    <row r="163" spans="1:2" s="26" customFormat="1" x14ac:dyDescent="0.3">
      <c r="A163" s="84"/>
      <c r="B163" s="84"/>
    </row>
    <row r="164" spans="1:2" s="26" customFormat="1" x14ac:dyDescent="0.3">
      <c r="A164" s="84"/>
      <c r="B164" s="84"/>
    </row>
    <row r="165" spans="1:2" s="26" customFormat="1" x14ac:dyDescent="0.3">
      <c r="A165" s="84"/>
      <c r="B165" s="84"/>
    </row>
    <row r="166" spans="1:2" s="26" customFormat="1" x14ac:dyDescent="0.3">
      <c r="A166" s="84"/>
      <c r="B166" s="84"/>
    </row>
    <row r="167" spans="1:2" s="26" customFormat="1" x14ac:dyDescent="0.3">
      <c r="A167" s="84"/>
      <c r="B167" s="84"/>
    </row>
    <row r="168" spans="1:2" s="26" customFormat="1" x14ac:dyDescent="0.3">
      <c r="A168" s="84"/>
      <c r="B168" s="84"/>
    </row>
    <row r="169" spans="1:2" s="26" customFormat="1" x14ac:dyDescent="0.3">
      <c r="A169" s="84"/>
      <c r="B169" s="84"/>
    </row>
    <row r="170" spans="1:2" s="26" customFormat="1" x14ac:dyDescent="0.3">
      <c r="A170" s="84"/>
      <c r="B170" s="84"/>
    </row>
    <row r="171" spans="1:2" s="26" customFormat="1" x14ac:dyDescent="0.3">
      <c r="A171" s="84"/>
      <c r="B171" s="84"/>
    </row>
    <row r="172" spans="1:2" s="26" customFormat="1" x14ac:dyDescent="0.3">
      <c r="A172" s="84"/>
      <c r="B172" s="84"/>
    </row>
    <row r="173" spans="1:2" s="26" customFormat="1" x14ac:dyDescent="0.3">
      <c r="A173" s="84"/>
      <c r="B173" s="84"/>
    </row>
    <row r="174" spans="1:2" s="26" customFormat="1" x14ac:dyDescent="0.3">
      <c r="A174" s="84"/>
      <c r="B174" s="84"/>
    </row>
    <row r="175" spans="1:2" s="26" customFormat="1" x14ac:dyDescent="0.3">
      <c r="A175" s="84"/>
      <c r="B175" s="84"/>
    </row>
    <row r="176" spans="1:2" s="26" customFormat="1" x14ac:dyDescent="0.3">
      <c r="A176" s="84"/>
      <c r="B176" s="84"/>
    </row>
    <row r="177" spans="1:2" s="26" customFormat="1" x14ac:dyDescent="0.3">
      <c r="A177" s="84"/>
      <c r="B177" s="84"/>
    </row>
    <row r="178" spans="1:2" s="26" customFormat="1" x14ac:dyDescent="0.3">
      <c r="A178" s="84"/>
      <c r="B178" s="84"/>
    </row>
    <row r="179" spans="1:2" s="26" customFormat="1" x14ac:dyDescent="0.3">
      <c r="A179" s="84"/>
      <c r="B179" s="84"/>
    </row>
    <row r="180" spans="1:2" s="26" customFormat="1" x14ac:dyDescent="0.3">
      <c r="A180" s="84"/>
      <c r="B180" s="84"/>
    </row>
    <row r="181" spans="1:2" s="26" customFormat="1" x14ac:dyDescent="0.3">
      <c r="A181" s="84"/>
      <c r="B181" s="84"/>
    </row>
    <row r="182" spans="1:2" s="26" customFormat="1" x14ac:dyDescent="0.3">
      <c r="A182" s="84"/>
      <c r="B182" s="84"/>
    </row>
    <row r="183" spans="1:2" s="26" customFormat="1" x14ac:dyDescent="0.3">
      <c r="A183" s="84"/>
      <c r="B183" s="84"/>
    </row>
    <row r="184" spans="1:2" s="26" customFormat="1" x14ac:dyDescent="0.3">
      <c r="A184" s="84"/>
      <c r="B184" s="84"/>
    </row>
    <row r="185" spans="1:2" s="26" customFormat="1" x14ac:dyDescent="0.3">
      <c r="A185" s="84"/>
      <c r="B185" s="84"/>
    </row>
    <row r="186" spans="1:2" s="26" customFormat="1" x14ac:dyDescent="0.3">
      <c r="A186" s="84"/>
      <c r="B186" s="84"/>
    </row>
    <row r="187" spans="1:2" s="26" customFormat="1" x14ac:dyDescent="0.3">
      <c r="A187" s="84"/>
      <c r="B187" s="84"/>
    </row>
    <row r="188" spans="1:2" s="26" customFormat="1" x14ac:dyDescent="0.3">
      <c r="A188" s="84"/>
      <c r="B188" s="84"/>
    </row>
    <row r="189" spans="1:2" s="26" customFormat="1" x14ac:dyDescent="0.3">
      <c r="A189" s="84"/>
      <c r="B189" s="84"/>
    </row>
    <row r="190" spans="1:2" s="26" customFormat="1" x14ac:dyDescent="0.3">
      <c r="A190" s="84"/>
      <c r="B190" s="84"/>
    </row>
    <row r="191" spans="1:2" s="26" customFormat="1" x14ac:dyDescent="0.3">
      <c r="A191" s="84"/>
      <c r="B191" s="84"/>
    </row>
    <row r="192" spans="1:2" s="26" customFormat="1" x14ac:dyDescent="0.3">
      <c r="A192" s="84"/>
      <c r="B192" s="84"/>
    </row>
    <row r="193" spans="1:2" s="26" customFormat="1" x14ac:dyDescent="0.3">
      <c r="A193" s="84"/>
      <c r="B193" s="84"/>
    </row>
    <row r="194" spans="1:2" s="26" customFormat="1" x14ac:dyDescent="0.3">
      <c r="A194" s="84"/>
      <c r="B194" s="84"/>
    </row>
    <row r="195" spans="1:2" s="26" customFormat="1" x14ac:dyDescent="0.3">
      <c r="A195" s="84"/>
      <c r="B195" s="84"/>
    </row>
    <row r="196" spans="1:2" s="26" customFormat="1" x14ac:dyDescent="0.3">
      <c r="A196" s="84"/>
      <c r="B196" s="84"/>
    </row>
    <row r="197" spans="1:2" s="26" customFormat="1" x14ac:dyDescent="0.3">
      <c r="A197" s="84"/>
      <c r="B197" s="84"/>
    </row>
    <row r="198" spans="1:2" s="26" customFormat="1" x14ac:dyDescent="0.3">
      <c r="A198" s="84"/>
      <c r="B198" s="84"/>
    </row>
    <row r="199" spans="1:2" s="26" customFormat="1" x14ac:dyDescent="0.3">
      <c r="A199" s="84"/>
      <c r="B199" s="84"/>
    </row>
    <row r="200" spans="1:2" s="26" customFormat="1" x14ac:dyDescent="0.3">
      <c r="A200" s="84"/>
      <c r="B200" s="84"/>
    </row>
    <row r="201" spans="1:2" s="26" customFormat="1" x14ac:dyDescent="0.3">
      <c r="A201" s="84"/>
      <c r="B201" s="84"/>
    </row>
    <row r="202" spans="1:2" s="26" customFormat="1" x14ac:dyDescent="0.3">
      <c r="A202" s="84"/>
      <c r="B202" s="84"/>
    </row>
    <row r="203" spans="1:2" s="26" customFormat="1" x14ac:dyDescent="0.3">
      <c r="A203" s="84"/>
      <c r="B203" s="84"/>
    </row>
    <row r="204" spans="1:2" s="26" customFormat="1" x14ac:dyDescent="0.3">
      <c r="A204" s="84"/>
      <c r="B204" s="84"/>
    </row>
    <row r="205" spans="1:2" s="26" customFormat="1" x14ac:dyDescent="0.3">
      <c r="A205" s="84"/>
      <c r="B205" s="84"/>
    </row>
    <row r="206" spans="1:2" s="26" customFormat="1" x14ac:dyDescent="0.3">
      <c r="A206" s="84"/>
      <c r="B206" s="84"/>
    </row>
    <row r="207" spans="1:2" s="26" customFormat="1" x14ac:dyDescent="0.3">
      <c r="A207" s="84"/>
      <c r="B207" s="84"/>
    </row>
    <row r="208" spans="1:2" s="26" customFormat="1" x14ac:dyDescent="0.3">
      <c r="A208" s="84"/>
      <c r="B208" s="84"/>
    </row>
    <row r="209" spans="1:2" s="26" customFormat="1" x14ac:dyDescent="0.3">
      <c r="A209" s="84"/>
      <c r="B209" s="84"/>
    </row>
    <row r="210" spans="1:2" s="26" customFormat="1" x14ac:dyDescent="0.3">
      <c r="A210" s="84"/>
      <c r="B210" s="84"/>
    </row>
    <row r="211" spans="1:2" s="26" customFormat="1" x14ac:dyDescent="0.3">
      <c r="A211" s="84"/>
      <c r="B211" s="84"/>
    </row>
    <row r="212" spans="1:2" s="26" customFormat="1" x14ac:dyDescent="0.3">
      <c r="A212" s="84"/>
      <c r="B212" s="84"/>
    </row>
    <row r="213" spans="1:2" s="26" customFormat="1" x14ac:dyDescent="0.3">
      <c r="A213" s="84"/>
      <c r="B213" s="84"/>
    </row>
    <row r="214" spans="1:2" s="26" customFormat="1" x14ac:dyDescent="0.3">
      <c r="A214" s="84"/>
      <c r="B214" s="84"/>
    </row>
    <row r="215" spans="1:2" s="26" customFormat="1" x14ac:dyDescent="0.3">
      <c r="A215" s="84"/>
      <c r="B215" s="84"/>
    </row>
    <row r="216" spans="1:2" s="26" customFormat="1" x14ac:dyDescent="0.3">
      <c r="A216" s="84"/>
      <c r="B216" s="84"/>
    </row>
    <row r="217" spans="1:2" s="26" customFormat="1" x14ac:dyDescent="0.3">
      <c r="A217" s="84"/>
      <c r="B217" s="84"/>
    </row>
    <row r="218" spans="1:2" s="26" customFormat="1" x14ac:dyDescent="0.3">
      <c r="A218" s="84"/>
      <c r="B218" s="84"/>
    </row>
    <row r="219" spans="1:2" s="26" customFormat="1" x14ac:dyDescent="0.3">
      <c r="A219" s="84"/>
      <c r="B219" s="84"/>
    </row>
    <row r="220" spans="1:2" s="26" customFormat="1" x14ac:dyDescent="0.3">
      <c r="A220" s="84"/>
      <c r="B220" s="84"/>
    </row>
    <row r="221" spans="1:2" s="26" customFormat="1" x14ac:dyDescent="0.3">
      <c r="A221" s="84"/>
      <c r="B221" s="84"/>
    </row>
    <row r="222" spans="1:2" s="26" customFormat="1" x14ac:dyDescent="0.3">
      <c r="A222" s="84"/>
      <c r="B222" s="84"/>
    </row>
    <row r="223" spans="1:2" s="26" customFormat="1" x14ac:dyDescent="0.3">
      <c r="A223" s="84"/>
      <c r="B223" s="84"/>
    </row>
    <row r="224" spans="1:2" s="26" customFormat="1" x14ac:dyDescent="0.3">
      <c r="A224" s="84"/>
      <c r="B224" s="84"/>
    </row>
    <row r="225" spans="1:2" s="26" customFormat="1" x14ac:dyDescent="0.3">
      <c r="A225" s="84"/>
      <c r="B225" s="84"/>
    </row>
    <row r="226" spans="1:2" s="26" customFormat="1" x14ac:dyDescent="0.3">
      <c r="A226" s="84"/>
      <c r="B226" s="84"/>
    </row>
    <row r="227" spans="1:2" s="26" customFormat="1" x14ac:dyDescent="0.3">
      <c r="A227" s="84"/>
      <c r="B227" s="84"/>
    </row>
    <row r="228" spans="1:2" s="26" customFormat="1" x14ac:dyDescent="0.3">
      <c r="A228" s="84"/>
      <c r="B228" s="84"/>
    </row>
    <row r="229" spans="1:2" s="26" customFormat="1" x14ac:dyDescent="0.3">
      <c r="A229" s="84"/>
      <c r="B229" s="84"/>
    </row>
    <row r="230" spans="1:2" s="26" customFormat="1" x14ac:dyDescent="0.3">
      <c r="A230" s="84"/>
      <c r="B230" s="84"/>
    </row>
    <row r="231" spans="1:2" s="26" customFormat="1" x14ac:dyDescent="0.3">
      <c r="A231" s="84"/>
      <c r="B231" s="84"/>
    </row>
    <row r="232" spans="1:2" s="26" customFormat="1" x14ac:dyDescent="0.3">
      <c r="A232" s="84"/>
      <c r="B232" s="84"/>
    </row>
    <row r="233" spans="1:2" s="26" customFormat="1" x14ac:dyDescent="0.3">
      <c r="A233" s="84"/>
      <c r="B233" s="84"/>
    </row>
    <row r="234" spans="1:2" s="26" customFormat="1" x14ac:dyDescent="0.3">
      <c r="A234" s="84"/>
      <c r="B234" s="84"/>
    </row>
    <row r="235" spans="1:2" s="26" customFormat="1" x14ac:dyDescent="0.3">
      <c r="A235" s="84"/>
      <c r="B235" s="84"/>
    </row>
    <row r="236" spans="1:2" s="26" customFormat="1" x14ac:dyDescent="0.3">
      <c r="A236" s="84"/>
      <c r="B236" s="84"/>
    </row>
    <row r="237" spans="1:2" s="26" customFormat="1" x14ac:dyDescent="0.3">
      <c r="A237" s="84"/>
      <c r="B237" s="84"/>
    </row>
    <row r="238" spans="1:2" s="26" customFormat="1" x14ac:dyDescent="0.3">
      <c r="A238" s="84"/>
      <c r="B238" s="84"/>
    </row>
    <row r="239" spans="1:2" s="26" customFormat="1" x14ac:dyDescent="0.3">
      <c r="A239" s="84"/>
      <c r="B239" s="84"/>
    </row>
    <row r="240" spans="1:2" s="26" customFormat="1" x14ac:dyDescent="0.3">
      <c r="A240" s="84"/>
      <c r="B240" s="84"/>
    </row>
    <row r="241" spans="1:2" s="26" customFormat="1" x14ac:dyDescent="0.3">
      <c r="A241" s="84"/>
      <c r="B241" s="84"/>
    </row>
    <row r="242" spans="1:2" s="26" customFormat="1" x14ac:dyDescent="0.3">
      <c r="A242" s="84"/>
      <c r="B242" s="84"/>
    </row>
    <row r="243" spans="1:2" s="26" customFormat="1" x14ac:dyDescent="0.3">
      <c r="A243" s="84"/>
      <c r="B243" s="84"/>
    </row>
    <row r="244" spans="1:2" s="26" customFormat="1" x14ac:dyDescent="0.3">
      <c r="A244" s="84"/>
      <c r="B244" s="84"/>
    </row>
    <row r="245" spans="1:2" s="26" customFormat="1" x14ac:dyDescent="0.3">
      <c r="A245" s="84"/>
      <c r="B245" s="84"/>
    </row>
    <row r="246" spans="1:2" s="26" customFormat="1" x14ac:dyDescent="0.3">
      <c r="A246" s="84"/>
      <c r="B246" s="84"/>
    </row>
    <row r="247" spans="1:2" s="26" customFormat="1" x14ac:dyDescent="0.3">
      <c r="A247" s="84"/>
      <c r="B247" s="84"/>
    </row>
    <row r="248" spans="1:2" s="26" customFormat="1" x14ac:dyDescent="0.3">
      <c r="A248" s="84"/>
      <c r="B248" s="84"/>
    </row>
    <row r="249" spans="1:2" s="26" customFormat="1" x14ac:dyDescent="0.3">
      <c r="A249" s="84"/>
      <c r="B249" s="84"/>
    </row>
    <row r="250" spans="1:2" s="26" customFormat="1" x14ac:dyDescent="0.3">
      <c r="A250" s="84"/>
      <c r="B250" s="84"/>
    </row>
    <row r="251" spans="1:2" s="26" customFormat="1" x14ac:dyDescent="0.3">
      <c r="A251" s="84"/>
      <c r="B251" s="84"/>
    </row>
    <row r="252" spans="1:2" s="26" customFormat="1" x14ac:dyDescent="0.3">
      <c r="A252" s="84"/>
      <c r="B252" s="84"/>
    </row>
    <row r="253" spans="1:2" s="26" customFormat="1" x14ac:dyDescent="0.3">
      <c r="A253" s="84"/>
      <c r="B253" s="84"/>
    </row>
    <row r="254" spans="1:2" s="26" customFormat="1" x14ac:dyDescent="0.3">
      <c r="A254" s="84"/>
      <c r="B254" s="84"/>
    </row>
    <row r="255" spans="1:2" s="26" customFormat="1" x14ac:dyDescent="0.3">
      <c r="A255" s="84"/>
      <c r="B255" s="84"/>
    </row>
    <row r="256" spans="1:2" s="26" customFormat="1" x14ac:dyDescent="0.3">
      <c r="A256" s="84"/>
      <c r="B256" s="84"/>
    </row>
    <row r="257" spans="1:2" s="26" customFormat="1" x14ac:dyDescent="0.3">
      <c r="A257" s="84"/>
      <c r="B257" s="84"/>
    </row>
    <row r="258" spans="1:2" s="26" customFormat="1" x14ac:dyDescent="0.3">
      <c r="A258" s="84"/>
      <c r="B258" s="84"/>
    </row>
    <row r="259" spans="1:2" s="26" customFormat="1" x14ac:dyDescent="0.3">
      <c r="A259" s="84"/>
      <c r="B259" s="84"/>
    </row>
    <row r="260" spans="1:2" s="26" customFormat="1" x14ac:dyDescent="0.3">
      <c r="A260" s="84"/>
      <c r="B260" s="84"/>
    </row>
    <row r="261" spans="1:2" s="26" customFormat="1" x14ac:dyDescent="0.3">
      <c r="A261" s="84"/>
      <c r="B261" s="84"/>
    </row>
    <row r="262" spans="1:2" s="26" customFormat="1" x14ac:dyDescent="0.3">
      <c r="A262" s="84"/>
      <c r="B262" s="84"/>
    </row>
    <row r="263" spans="1:2" s="26" customFormat="1" x14ac:dyDescent="0.3">
      <c r="A263" s="84"/>
      <c r="B263" s="84"/>
    </row>
    <row r="264" spans="1:2" s="26" customFormat="1" x14ac:dyDescent="0.3">
      <c r="A264" s="84"/>
      <c r="B264" s="84"/>
    </row>
    <row r="265" spans="1:2" s="26" customFormat="1" x14ac:dyDescent="0.3">
      <c r="A265" s="84"/>
      <c r="B265" s="84"/>
    </row>
    <row r="266" spans="1:2" s="26" customFormat="1" x14ac:dyDescent="0.3">
      <c r="A266" s="84"/>
      <c r="B266" s="84"/>
    </row>
    <row r="267" spans="1:2" s="26" customFormat="1" x14ac:dyDescent="0.3">
      <c r="A267" s="84"/>
      <c r="B267" s="84"/>
    </row>
    <row r="268" spans="1:2" s="26" customFormat="1" x14ac:dyDescent="0.3">
      <c r="A268" s="84"/>
      <c r="B268" s="84"/>
    </row>
    <row r="269" spans="1:2" s="26" customFormat="1" x14ac:dyDescent="0.3">
      <c r="A269" s="84"/>
      <c r="B269" s="84"/>
    </row>
    <row r="270" spans="1:2" s="26" customFormat="1" x14ac:dyDescent="0.3">
      <c r="A270" s="84"/>
      <c r="B270" s="84"/>
    </row>
    <row r="271" spans="1:2" s="26" customFormat="1" x14ac:dyDescent="0.3">
      <c r="A271" s="84"/>
      <c r="B271" s="84"/>
    </row>
    <row r="272" spans="1:2" s="26" customFormat="1" x14ac:dyDescent="0.3">
      <c r="A272" s="84"/>
      <c r="B272" s="84"/>
    </row>
    <row r="273" spans="1:2" s="26" customFormat="1" x14ac:dyDescent="0.3">
      <c r="A273" s="84"/>
      <c r="B273" s="84"/>
    </row>
    <row r="274" spans="1:2" s="26" customFormat="1" x14ac:dyDescent="0.3">
      <c r="A274" s="84"/>
      <c r="B274" s="84"/>
    </row>
    <row r="275" spans="1:2" s="26" customFormat="1" x14ac:dyDescent="0.3">
      <c r="A275" s="84"/>
      <c r="B275" s="84"/>
    </row>
    <row r="276" spans="1:2" s="26" customFormat="1" x14ac:dyDescent="0.3">
      <c r="A276" s="84"/>
      <c r="B276" s="84"/>
    </row>
    <row r="277" spans="1:2" s="26" customFormat="1" x14ac:dyDescent="0.3">
      <c r="A277" s="84"/>
      <c r="B277" s="84"/>
    </row>
    <row r="278" spans="1:2" s="26" customFormat="1" x14ac:dyDescent="0.3">
      <c r="A278" s="84"/>
      <c r="B278" s="84"/>
    </row>
    <row r="279" spans="1:2" s="26" customFormat="1" x14ac:dyDescent="0.3">
      <c r="A279" s="84"/>
      <c r="B279" s="84"/>
    </row>
    <row r="280" spans="1:2" s="26" customFormat="1" x14ac:dyDescent="0.3">
      <c r="A280" s="84"/>
      <c r="B280" s="84"/>
    </row>
    <row r="281" spans="1:2" s="26" customFormat="1" x14ac:dyDescent="0.3">
      <c r="A281" s="84"/>
      <c r="B281" s="84"/>
    </row>
    <row r="282" spans="1:2" s="26" customFormat="1" x14ac:dyDescent="0.3">
      <c r="A282" s="84"/>
      <c r="B282" s="84"/>
    </row>
    <row r="283" spans="1:2" s="26" customFormat="1" x14ac:dyDescent="0.3">
      <c r="A283" s="84"/>
      <c r="B283" s="84"/>
    </row>
    <row r="284" spans="1:2" s="26" customFormat="1" x14ac:dyDescent="0.3">
      <c r="A284" s="84"/>
      <c r="B284" s="84"/>
    </row>
    <row r="285" spans="1:2" s="26" customFormat="1" x14ac:dyDescent="0.3">
      <c r="A285" s="84"/>
      <c r="B285" s="84"/>
    </row>
    <row r="286" spans="1:2" s="26" customFormat="1" x14ac:dyDescent="0.3">
      <c r="A286" s="84"/>
      <c r="B286" s="84"/>
    </row>
    <row r="287" spans="1:2" s="26" customFormat="1" x14ac:dyDescent="0.3">
      <c r="A287" s="84"/>
      <c r="B287" s="84"/>
    </row>
    <row r="288" spans="1:2" s="26" customFormat="1" x14ac:dyDescent="0.3">
      <c r="A288" s="84"/>
      <c r="B288" s="84"/>
    </row>
    <row r="289" spans="1:2" s="26" customFormat="1" x14ac:dyDescent="0.3">
      <c r="A289" s="84"/>
      <c r="B289" s="84"/>
    </row>
    <row r="290" spans="1:2" s="26" customFormat="1" x14ac:dyDescent="0.3">
      <c r="A290" s="84"/>
      <c r="B290" s="84"/>
    </row>
    <row r="291" spans="1:2" s="26" customFormat="1" x14ac:dyDescent="0.3">
      <c r="A291" s="84"/>
      <c r="B291" s="84"/>
    </row>
    <row r="292" spans="1:2" s="26" customFormat="1" x14ac:dyDescent="0.3">
      <c r="A292" s="84"/>
      <c r="B292" s="84"/>
    </row>
    <row r="293" spans="1:2" s="26" customFormat="1" x14ac:dyDescent="0.3">
      <c r="A293" s="84"/>
      <c r="B293" s="84"/>
    </row>
    <row r="294" spans="1:2" s="26" customFormat="1" x14ac:dyDescent="0.3">
      <c r="A294" s="84"/>
      <c r="B294" s="84"/>
    </row>
    <row r="295" spans="1:2" s="26" customFormat="1" x14ac:dyDescent="0.3">
      <c r="A295" s="84"/>
      <c r="B295" s="84"/>
    </row>
    <row r="296" spans="1:2" s="26" customFormat="1" x14ac:dyDescent="0.3">
      <c r="A296" s="84"/>
      <c r="B296" s="84"/>
    </row>
    <row r="297" spans="1:2" s="26" customFormat="1" x14ac:dyDescent="0.3">
      <c r="A297" s="84"/>
      <c r="B297" s="84"/>
    </row>
    <row r="298" spans="1:2" s="26" customFormat="1" x14ac:dyDescent="0.3">
      <c r="A298" s="84"/>
      <c r="B298" s="84"/>
    </row>
    <row r="299" spans="1:2" s="26" customFormat="1" x14ac:dyDescent="0.3">
      <c r="A299" s="84"/>
      <c r="B299" s="84"/>
    </row>
    <row r="300" spans="1:2" s="26" customFormat="1" x14ac:dyDescent="0.3">
      <c r="A300" s="84"/>
      <c r="B300" s="84"/>
    </row>
    <row r="301" spans="1:2" s="26" customFormat="1" x14ac:dyDescent="0.3">
      <c r="A301" s="84"/>
      <c r="B301" s="84"/>
    </row>
    <row r="302" spans="1:2" s="26" customFormat="1" x14ac:dyDescent="0.3">
      <c r="A302" s="84"/>
      <c r="B302" s="84"/>
    </row>
    <row r="303" spans="1:2" s="26" customFormat="1" x14ac:dyDescent="0.3">
      <c r="A303" s="84"/>
      <c r="B303" s="84"/>
    </row>
    <row r="304" spans="1:2" s="26" customFormat="1" x14ac:dyDescent="0.3">
      <c r="A304" s="84"/>
      <c r="B304" s="84"/>
    </row>
    <row r="305" spans="1:2" s="26" customFormat="1" x14ac:dyDescent="0.3">
      <c r="A305" s="84"/>
      <c r="B305" s="84"/>
    </row>
    <row r="306" spans="1:2" s="26" customFormat="1" x14ac:dyDescent="0.3">
      <c r="A306" s="84"/>
      <c r="B306" s="84"/>
    </row>
    <row r="307" spans="1:2" s="26" customFormat="1" x14ac:dyDescent="0.3">
      <c r="A307" s="84"/>
      <c r="B307" s="84"/>
    </row>
    <row r="308" spans="1:2" s="26" customFormat="1" x14ac:dyDescent="0.3">
      <c r="A308" s="84"/>
      <c r="B308" s="84"/>
    </row>
    <row r="309" spans="1:2" s="26" customFormat="1" x14ac:dyDescent="0.3">
      <c r="A309" s="84"/>
      <c r="B309" s="84"/>
    </row>
    <row r="310" spans="1:2" s="26" customFormat="1" x14ac:dyDescent="0.3">
      <c r="A310" s="84"/>
      <c r="B310" s="84"/>
    </row>
    <row r="311" spans="1:2" s="26" customFormat="1" x14ac:dyDescent="0.3">
      <c r="A311" s="84"/>
      <c r="B311" s="84"/>
    </row>
    <row r="312" spans="1:2" s="26" customFormat="1" x14ac:dyDescent="0.3">
      <c r="A312" s="84"/>
      <c r="B312" s="84"/>
    </row>
    <row r="313" spans="1:2" s="26" customFormat="1" x14ac:dyDescent="0.3">
      <c r="A313" s="84"/>
      <c r="B313" s="84"/>
    </row>
    <row r="314" spans="1:2" s="26" customFormat="1" x14ac:dyDescent="0.3">
      <c r="A314" s="84"/>
      <c r="B314" s="84"/>
    </row>
    <row r="315" spans="1:2" s="26" customFormat="1" x14ac:dyDescent="0.3">
      <c r="A315" s="84"/>
      <c r="B315" s="84"/>
    </row>
    <row r="316" spans="1:2" s="26" customFormat="1" x14ac:dyDescent="0.3">
      <c r="A316" s="84"/>
      <c r="B316" s="84"/>
    </row>
    <row r="317" spans="1:2" s="26" customFormat="1" x14ac:dyDescent="0.3">
      <c r="A317" s="84"/>
      <c r="B317" s="84"/>
    </row>
    <row r="318" spans="1:2" s="26" customFormat="1" x14ac:dyDescent="0.3">
      <c r="A318" s="84"/>
      <c r="B318" s="84"/>
    </row>
    <row r="319" spans="1:2" s="26" customFormat="1" x14ac:dyDescent="0.3">
      <c r="A319" s="84"/>
      <c r="B319" s="84"/>
    </row>
    <row r="320" spans="1:2" s="26" customFormat="1" x14ac:dyDescent="0.3">
      <c r="A320" s="84"/>
      <c r="B320" s="84"/>
    </row>
    <row r="321" spans="1:2" s="26" customFormat="1" x14ac:dyDescent="0.3">
      <c r="A321" s="84"/>
      <c r="B321" s="84"/>
    </row>
    <row r="322" spans="1:2" s="26" customFormat="1" x14ac:dyDescent="0.3">
      <c r="A322" s="84"/>
      <c r="B322" s="84"/>
    </row>
    <row r="323" spans="1:2" s="26" customFormat="1" x14ac:dyDescent="0.3">
      <c r="A323" s="84"/>
      <c r="B323" s="84"/>
    </row>
    <row r="324" spans="1:2" s="26" customFormat="1" x14ac:dyDescent="0.3">
      <c r="A324" s="84"/>
      <c r="B324" s="84"/>
    </row>
    <row r="325" spans="1:2" s="26" customFormat="1" x14ac:dyDescent="0.3">
      <c r="A325" s="84"/>
      <c r="B325" s="84"/>
    </row>
    <row r="326" spans="1:2" s="26" customFormat="1" x14ac:dyDescent="0.3">
      <c r="A326" s="84"/>
      <c r="B326" s="84"/>
    </row>
    <row r="327" spans="1:2" s="26" customFormat="1" x14ac:dyDescent="0.3">
      <c r="A327" s="84"/>
      <c r="B327" s="84"/>
    </row>
    <row r="328" spans="1:2" s="26" customFormat="1" x14ac:dyDescent="0.3">
      <c r="A328" s="84"/>
      <c r="B328" s="84"/>
    </row>
    <row r="329" spans="1:2" s="26" customFormat="1" x14ac:dyDescent="0.3">
      <c r="A329" s="84"/>
      <c r="B329" s="84"/>
    </row>
    <row r="330" spans="1:2" s="26" customFormat="1" x14ac:dyDescent="0.3">
      <c r="A330" s="84"/>
      <c r="B330" s="84"/>
    </row>
    <row r="331" spans="1:2" s="26" customFormat="1" x14ac:dyDescent="0.3">
      <c r="A331" s="84"/>
      <c r="B331" s="84"/>
    </row>
    <row r="332" spans="1:2" s="26" customFormat="1" x14ac:dyDescent="0.3">
      <c r="A332" s="84"/>
      <c r="B332" s="84"/>
    </row>
    <row r="333" spans="1:2" s="26" customFormat="1" x14ac:dyDescent="0.3">
      <c r="A333" s="84"/>
      <c r="B333" s="84"/>
    </row>
    <row r="334" spans="1:2" s="26" customFormat="1" x14ac:dyDescent="0.3">
      <c r="A334" s="84"/>
      <c r="B334" s="84"/>
    </row>
    <row r="335" spans="1:2" s="26" customFormat="1" x14ac:dyDescent="0.3">
      <c r="A335" s="84"/>
      <c r="B335" s="84"/>
    </row>
    <row r="336" spans="1:2" s="26" customFormat="1" x14ac:dyDescent="0.3">
      <c r="A336" s="84"/>
      <c r="B336" s="84"/>
    </row>
    <row r="337" spans="1:2" s="26" customFormat="1" x14ac:dyDescent="0.3">
      <c r="A337" s="84"/>
      <c r="B337" s="84"/>
    </row>
    <row r="338" spans="1:2" s="26" customFormat="1" x14ac:dyDescent="0.3">
      <c r="A338" s="84"/>
      <c r="B338" s="84"/>
    </row>
    <row r="339" spans="1:2" s="26" customFormat="1" x14ac:dyDescent="0.3">
      <c r="A339" s="84"/>
      <c r="B339" s="84"/>
    </row>
    <row r="340" spans="1:2" s="26" customFormat="1" x14ac:dyDescent="0.3">
      <c r="A340" s="84"/>
      <c r="B340" s="84"/>
    </row>
    <row r="341" spans="1:2" s="26" customFormat="1" x14ac:dyDescent="0.3">
      <c r="A341" s="84"/>
      <c r="B341" s="84"/>
    </row>
    <row r="342" spans="1:2" s="26" customFormat="1" x14ac:dyDescent="0.3">
      <c r="A342" s="84"/>
      <c r="B342" s="84"/>
    </row>
    <row r="343" spans="1:2" s="26" customFormat="1" x14ac:dyDescent="0.3">
      <c r="A343" s="84"/>
      <c r="B343" s="84"/>
    </row>
    <row r="344" spans="1:2" s="26" customFormat="1" x14ac:dyDescent="0.3">
      <c r="A344" s="84"/>
      <c r="B344" s="84"/>
    </row>
    <row r="345" spans="1:2" s="26" customFormat="1" x14ac:dyDescent="0.3">
      <c r="A345" s="84"/>
      <c r="B345" s="84"/>
    </row>
    <row r="346" spans="1:2" s="26" customFormat="1" x14ac:dyDescent="0.3">
      <c r="A346" s="84"/>
      <c r="B346" s="84"/>
    </row>
    <row r="347" spans="1:2" s="26" customFormat="1" x14ac:dyDescent="0.3">
      <c r="A347" s="84"/>
      <c r="B347" s="84"/>
    </row>
    <row r="348" spans="1:2" s="26" customFormat="1" x14ac:dyDescent="0.3">
      <c r="A348" s="84"/>
      <c r="B348" s="84"/>
    </row>
    <row r="349" spans="1:2" s="26" customFormat="1" x14ac:dyDescent="0.3">
      <c r="A349" s="84"/>
      <c r="B349" s="84"/>
    </row>
    <row r="350" spans="1:2" s="26" customFormat="1" x14ac:dyDescent="0.3">
      <c r="A350" s="84"/>
      <c r="B350" s="84"/>
    </row>
    <row r="351" spans="1:2" s="26" customFormat="1" x14ac:dyDescent="0.3">
      <c r="A351" s="84"/>
      <c r="B351" s="84"/>
    </row>
    <row r="352" spans="1:2" s="26" customFormat="1" x14ac:dyDescent="0.3">
      <c r="A352" s="84"/>
      <c r="B352" s="84"/>
    </row>
    <row r="353" spans="1:2" s="26" customFormat="1" x14ac:dyDescent="0.3">
      <c r="A353" s="84"/>
      <c r="B353" s="84"/>
    </row>
    <row r="354" spans="1:2" s="26" customFormat="1" x14ac:dyDescent="0.3">
      <c r="A354" s="84"/>
      <c r="B354" s="84"/>
    </row>
    <row r="355" spans="1:2" s="26" customFormat="1" x14ac:dyDescent="0.3">
      <c r="A355" s="84"/>
      <c r="B355" s="84"/>
    </row>
    <row r="356" spans="1:2" s="26" customFormat="1" x14ac:dyDescent="0.3">
      <c r="A356" s="84"/>
      <c r="B356" s="84"/>
    </row>
    <row r="357" spans="1:2" s="26" customFormat="1" x14ac:dyDescent="0.3">
      <c r="A357" s="84"/>
      <c r="B357" s="84"/>
    </row>
    <row r="358" spans="1:2" s="26" customFormat="1" x14ac:dyDescent="0.3">
      <c r="A358" s="84"/>
      <c r="B358" s="84"/>
    </row>
    <row r="359" spans="1:2" s="26" customFormat="1" x14ac:dyDescent="0.3">
      <c r="A359" s="84"/>
      <c r="B359" s="84"/>
    </row>
    <row r="360" spans="1:2" s="26" customFormat="1" x14ac:dyDescent="0.3">
      <c r="A360" s="84"/>
      <c r="B360" s="84"/>
    </row>
    <row r="361" spans="1:2" s="26" customFormat="1" x14ac:dyDescent="0.3">
      <c r="A361" s="84"/>
      <c r="B361" s="84"/>
    </row>
    <row r="362" spans="1:2" s="26" customFormat="1" x14ac:dyDescent="0.3">
      <c r="A362" s="84"/>
      <c r="B362" s="84"/>
    </row>
    <row r="363" spans="1:2" s="26" customFormat="1" x14ac:dyDescent="0.3">
      <c r="A363" s="84"/>
      <c r="B363" s="84"/>
    </row>
    <row r="364" spans="1:2" s="26" customFormat="1" x14ac:dyDescent="0.3">
      <c r="A364" s="84"/>
      <c r="B364" s="84"/>
    </row>
    <row r="365" spans="1:2" s="26" customFormat="1" x14ac:dyDescent="0.3">
      <c r="A365" s="84"/>
      <c r="B365" s="84"/>
    </row>
    <row r="366" spans="1:2" s="26" customFormat="1" x14ac:dyDescent="0.3">
      <c r="A366" s="84"/>
      <c r="B366" s="84"/>
    </row>
    <row r="367" spans="1:2" s="26" customFormat="1" x14ac:dyDescent="0.3">
      <c r="A367" s="84"/>
      <c r="B367" s="84"/>
    </row>
    <row r="368" spans="1:2" s="26" customFormat="1" x14ac:dyDescent="0.3">
      <c r="A368" s="84"/>
      <c r="B368" s="84"/>
    </row>
    <row r="369" spans="1:2" s="26" customFormat="1" x14ac:dyDescent="0.3">
      <c r="A369" s="84"/>
      <c r="B369" s="84"/>
    </row>
    <row r="370" spans="1:2" s="26" customFormat="1" x14ac:dyDescent="0.3">
      <c r="A370" s="84"/>
      <c r="B370" s="84"/>
    </row>
    <row r="371" spans="1:2" s="26" customFormat="1" x14ac:dyDescent="0.3">
      <c r="A371" s="84"/>
      <c r="B371" s="84"/>
    </row>
    <row r="372" spans="1:2" s="26" customFormat="1" x14ac:dyDescent="0.3">
      <c r="A372" s="84"/>
      <c r="B372" s="84"/>
    </row>
    <row r="373" spans="1:2" s="26" customFormat="1" x14ac:dyDescent="0.3">
      <c r="A373" s="84"/>
      <c r="B373" s="84"/>
    </row>
    <row r="374" spans="1:2" s="26" customFormat="1" x14ac:dyDescent="0.3">
      <c r="A374" s="84"/>
      <c r="B374" s="84"/>
    </row>
    <row r="375" spans="1:2" s="26" customFormat="1" x14ac:dyDescent="0.3">
      <c r="A375" s="84"/>
      <c r="B375" s="84"/>
    </row>
    <row r="376" spans="1:2" s="26" customFormat="1" x14ac:dyDescent="0.3">
      <c r="A376" s="84"/>
      <c r="B376" s="84"/>
    </row>
    <row r="377" spans="1:2" s="26" customFormat="1" x14ac:dyDescent="0.3">
      <c r="A377" s="84"/>
      <c r="B377" s="84"/>
    </row>
    <row r="378" spans="1:2" s="26" customFormat="1" x14ac:dyDescent="0.3">
      <c r="A378" s="84"/>
      <c r="B378" s="84"/>
    </row>
    <row r="379" spans="1:2" s="26" customFormat="1" x14ac:dyDescent="0.3">
      <c r="A379" s="84"/>
      <c r="B379" s="84"/>
    </row>
    <row r="380" spans="1:2" s="26" customFormat="1" x14ac:dyDescent="0.3">
      <c r="A380" s="84"/>
      <c r="B380" s="84"/>
    </row>
    <row r="381" spans="1:2" s="26" customFormat="1" x14ac:dyDescent="0.3">
      <c r="A381" s="84"/>
      <c r="B381" s="84"/>
    </row>
    <row r="382" spans="1:2" s="26" customFormat="1" x14ac:dyDescent="0.3">
      <c r="A382" s="84"/>
      <c r="B382" s="84"/>
    </row>
    <row r="383" spans="1:2" s="26" customFormat="1" x14ac:dyDescent="0.3">
      <c r="A383" s="84"/>
      <c r="B383" s="84"/>
    </row>
    <row r="384" spans="1:2" s="26" customFormat="1" x14ac:dyDescent="0.3">
      <c r="A384" s="84"/>
      <c r="B384" s="84"/>
    </row>
    <row r="385" spans="1:2" s="26" customFormat="1" x14ac:dyDescent="0.3">
      <c r="A385" s="84"/>
      <c r="B385" s="84"/>
    </row>
    <row r="386" spans="1:2" s="26" customFormat="1" x14ac:dyDescent="0.3">
      <c r="A386" s="84"/>
      <c r="B386" s="84"/>
    </row>
    <row r="387" spans="1:2" s="26" customFormat="1" x14ac:dyDescent="0.3">
      <c r="A387" s="84"/>
      <c r="B387" s="84"/>
    </row>
    <row r="388" spans="1:2" s="26" customFormat="1" x14ac:dyDescent="0.3">
      <c r="A388" s="84"/>
      <c r="B388" s="84"/>
    </row>
    <row r="389" spans="1:2" s="26" customFormat="1" x14ac:dyDescent="0.3">
      <c r="A389" s="84"/>
      <c r="B389" s="84"/>
    </row>
    <row r="390" spans="1:2" s="26" customFormat="1" x14ac:dyDescent="0.3">
      <c r="A390" s="84"/>
      <c r="B390" s="84"/>
    </row>
    <row r="391" spans="1:2" s="26" customFormat="1" x14ac:dyDescent="0.3">
      <c r="A391" s="84"/>
      <c r="B391" s="84"/>
    </row>
    <row r="392" spans="1:2" s="26" customFormat="1" x14ac:dyDescent="0.3">
      <c r="A392" s="84"/>
      <c r="B392" s="84"/>
    </row>
    <row r="393" spans="1:2" s="26" customFormat="1" x14ac:dyDescent="0.3">
      <c r="A393" s="84"/>
      <c r="B393" s="84"/>
    </row>
    <row r="394" spans="1:2" s="26" customFormat="1" x14ac:dyDescent="0.3">
      <c r="A394" s="84"/>
      <c r="B394" s="84"/>
    </row>
    <row r="395" spans="1:2" s="26" customFormat="1" x14ac:dyDescent="0.3">
      <c r="A395" s="84"/>
      <c r="B395" s="84"/>
    </row>
    <row r="396" spans="1:2" s="26" customFormat="1" x14ac:dyDescent="0.3">
      <c r="A396" s="84"/>
      <c r="B396" s="84"/>
    </row>
    <row r="397" spans="1:2" s="26" customFormat="1" x14ac:dyDescent="0.3">
      <c r="A397" s="84"/>
      <c r="B397" s="84"/>
    </row>
    <row r="398" spans="1:2" s="26" customFormat="1" x14ac:dyDescent="0.3">
      <c r="A398" s="84"/>
      <c r="B398" s="84"/>
    </row>
    <row r="399" spans="1:2" s="26" customFormat="1" x14ac:dyDescent="0.3">
      <c r="A399" s="84"/>
      <c r="B399" s="84"/>
    </row>
    <row r="400" spans="1:2" s="26" customFormat="1" x14ac:dyDescent="0.3">
      <c r="A400" s="84"/>
      <c r="B400" s="84"/>
    </row>
    <row r="401" spans="1:2" s="26" customFormat="1" x14ac:dyDescent="0.3">
      <c r="A401" s="84"/>
      <c r="B401" s="84"/>
    </row>
    <row r="402" spans="1:2" s="26" customFormat="1" x14ac:dyDescent="0.3">
      <c r="A402" s="84"/>
      <c r="B402" s="84"/>
    </row>
    <row r="403" spans="1:2" s="26" customFormat="1" x14ac:dyDescent="0.3">
      <c r="A403" s="84"/>
      <c r="B403" s="84"/>
    </row>
    <row r="404" spans="1:2" s="26" customFormat="1" x14ac:dyDescent="0.3">
      <c r="A404" s="84"/>
      <c r="B404" s="84"/>
    </row>
    <row r="405" spans="1:2" s="26" customFormat="1" x14ac:dyDescent="0.3">
      <c r="A405" s="84"/>
      <c r="B405" s="84"/>
    </row>
    <row r="406" spans="1:2" s="26" customFormat="1" x14ac:dyDescent="0.3">
      <c r="A406" s="84"/>
      <c r="B406" s="84"/>
    </row>
    <row r="407" spans="1:2" s="26" customFormat="1" x14ac:dyDescent="0.3">
      <c r="A407" s="84"/>
      <c r="B407" s="84"/>
    </row>
    <row r="408" spans="1:2" s="26" customFormat="1" x14ac:dyDescent="0.3">
      <c r="A408" s="84"/>
      <c r="B408" s="84"/>
    </row>
    <row r="409" spans="1:2" s="26" customFormat="1" x14ac:dyDescent="0.3">
      <c r="A409" s="84"/>
      <c r="B409" s="84"/>
    </row>
    <row r="410" spans="1:2" s="26" customFormat="1" x14ac:dyDescent="0.3">
      <c r="A410" s="84"/>
      <c r="B410" s="84"/>
    </row>
    <row r="411" spans="1:2" s="26" customFormat="1" x14ac:dyDescent="0.3">
      <c r="A411" s="84"/>
      <c r="B411" s="84"/>
    </row>
    <row r="412" spans="1:2" s="26" customFormat="1" x14ac:dyDescent="0.3">
      <c r="A412" s="84"/>
      <c r="B412" s="84"/>
    </row>
    <row r="413" spans="1:2" s="26" customFormat="1" x14ac:dyDescent="0.3">
      <c r="A413" s="84"/>
      <c r="B413" s="84"/>
    </row>
    <row r="414" spans="1:2" s="26" customFormat="1" x14ac:dyDescent="0.3">
      <c r="A414" s="84"/>
      <c r="B414" s="84"/>
    </row>
    <row r="415" spans="1:2" s="26" customFormat="1" x14ac:dyDescent="0.3">
      <c r="A415" s="84"/>
      <c r="B415" s="84"/>
    </row>
    <row r="416" spans="1:2" s="26" customFormat="1" x14ac:dyDescent="0.3">
      <c r="A416" s="84"/>
      <c r="B416" s="84"/>
    </row>
    <row r="417" spans="1:2" s="26" customFormat="1" x14ac:dyDescent="0.3">
      <c r="A417" s="84"/>
      <c r="B417" s="84"/>
    </row>
    <row r="418" spans="1:2" s="26" customFormat="1" x14ac:dyDescent="0.3">
      <c r="A418" s="84"/>
      <c r="B418" s="84"/>
    </row>
    <row r="419" spans="1:2" s="26" customFormat="1" x14ac:dyDescent="0.3">
      <c r="A419" s="84"/>
      <c r="B419" s="84"/>
    </row>
    <row r="420" spans="1:2" s="26" customFormat="1" x14ac:dyDescent="0.3">
      <c r="A420" s="84"/>
      <c r="B420" s="84"/>
    </row>
    <row r="421" spans="1:2" s="26" customFormat="1" x14ac:dyDescent="0.3">
      <c r="A421" s="84"/>
      <c r="B421" s="84"/>
    </row>
    <row r="422" spans="1:2" s="26" customFormat="1" x14ac:dyDescent="0.3">
      <c r="A422" s="84"/>
      <c r="B422" s="84"/>
    </row>
    <row r="423" spans="1:2" s="26" customFormat="1" x14ac:dyDescent="0.3">
      <c r="A423" s="84"/>
      <c r="B423" s="84"/>
    </row>
    <row r="424" spans="1:2" s="26" customFormat="1" x14ac:dyDescent="0.3">
      <c r="A424" s="84"/>
      <c r="B424" s="84"/>
    </row>
    <row r="425" spans="1:2" s="26" customFormat="1" x14ac:dyDescent="0.3">
      <c r="A425" s="84"/>
      <c r="B425" s="84"/>
    </row>
    <row r="426" spans="1:2" s="26" customFormat="1" x14ac:dyDescent="0.3">
      <c r="A426" s="84"/>
      <c r="B426" s="84"/>
    </row>
    <row r="427" spans="1:2" s="26" customFormat="1" x14ac:dyDescent="0.3">
      <c r="A427" s="84"/>
      <c r="B427" s="84"/>
    </row>
    <row r="428" spans="1:2" s="26" customFormat="1" x14ac:dyDescent="0.3">
      <c r="A428" s="84"/>
      <c r="B428" s="84"/>
    </row>
    <row r="429" spans="1:2" s="26" customFormat="1" x14ac:dyDescent="0.3">
      <c r="A429" s="84"/>
      <c r="B429" s="84"/>
    </row>
    <row r="430" spans="1:2" s="26" customFormat="1" x14ac:dyDescent="0.3">
      <c r="A430" s="84"/>
      <c r="B430" s="84"/>
    </row>
    <row r="431" spans="1:2" s="26" customFormat="1" x14ac:dyDescent="0.3">
      <c r="A431" s="84"/>
      <c r="B431" s="84"/>
    </row>
    <row r="432" spans="1:2" s="26" customFormat="1" x14ac:dyDescent="0.3">
      <c r="A432" s="84"/>
      <c r="B432" s="84"/>
    </row>
    <row r="433" spans="1:2" s="26" customFormat="1" x14ac:dyDescent="0.3">
      <c r="A433" s="84"/>
      <c r="B433" s="84"/>
    </row>
    <row r="434" spans="1:2" s="26" customFormat="1" x14ac:dyDescent="0.3">
      <c r="A434" s="84"/>
      <c r="B434" s="84"/>
    </row>
    <row r="435" spans="1:2" s="26" customFormat="1" x14ac:dyDescent="0.3">
      <c r="A435" s="84"/>
      <c r="B435" s="84"/>
    </row>
    <row r="436" spans="1:2" s="26" customFormat="1" x14ac:dyDescent="0.3">
      <c r="A436" s="84"/>
      <c r="B436" s="84"/>
    </row>
    <row r="437" spans="1:2" s="26" customFormat="1" x14ac:dyDescent="0.3">
      <c r="A437" s="84"/>
      <c r="B437" s="84"/>
    </row>
    <row r="438" spans="1:2" s="26" customFormat="1" x14ac:dyDescent="0.3">
      <c r="A438" s="84"/>
      <c r="B438" s="84"/>
    </row>
    <row r="439" spans="1:2" s="26" customFormat="1" x14ac:dyDescent="0.3">
      <c r="A439" s="84"/>
      <c r="B439" s="84"/>
    </row>
    <row r="440" spans="1:2" s="26" customFormat="1" x14ac:dyDescent="0.3">
      <c r="A440" s="84"/>
      <c r="B440" s="84"/>
    </row>
    <row r="441" spans="1:2" s="26" customFormat="1" x14ac:dyDescent="0.3">
      <c r="A441" s="84"/>
      <c r="B441" s="84"/>
    </row>
    <row r="442" spans="1:2" s="26" customFormat="1" x14ac:dyDescent="0.3">
      <c r="A442" s="84"/>
      <c r="B442" s="84"/>
    </row>
    <row r="443" spans="1:2" s="26" customFormat="1" x14ac:dyDescent="0.3">
      <c r="A443" s="84"/>
      <c r="B443" s="84"/>
    </row>
    <row r="444" spans="1:2" s="26" customFormat="1" x14ac:dyDescent="0.3">
      <c r="A444" s="84"/>
      <c r="B444" s="84"/>
    </row>
    <row r="445" spans="1:2" s="26" customFormat="1" x14ac:dyDescent="0.3">
      <c r="A445" s="84"/>
      <c r="B445" s="84"/>
    </row>
    <row r="446" spans="1:2" s="26" customFormat="1" x14ac:dyDescent="0.3">
      <c r="A446" s="84"/>
      <c r="B446" s="84"/>
    </row>
    <row r="447" spans="1:2" s="26" customFormat="1" x14ac:dyDescent="0.3">
      <c r="A447" s="84"/>
      <c r="B447" s="84"/>
    </row>
    <row r="448" spans="1:2" s="26" customFormat="1" x14ac:dyDescent="0.3">
      <c r="A448" s="84"/>
      <c r="B448" s="84"/>
    </row>
    <row r="449" spans="1:2" s="26" customFormat="1" x14ac:dyDescent="0.3">
      <c r="A449" s="84"/>
      <c r="B449" s="84"/>
    </row>
    <row r="450" spans="1:2" s="26" customFormat="1" x14ac:dyDescent="0.3">
      <c r="A450" s="84"/>
      <c r="B450" s="84"/>
    </row>
    <row r="451" spans="1:2" s="26" customFormat="1" x14ac:dyDescent="0.3">
      <c r="A451" s="84"/>
      <c r="B451" s="84"/>
    </row>
    <row r="452" spans="1:2" s="26" customFormat="1" x14ac:dyDescent="0.3">
      <c r="A452" s="84"/>
      <c r="B452" s="84"/>
    </row>
    <row r="453" spans="1:2" s="26" customFormat="1" x14ac:dyDescent="0.3">
      <c r="A453" s="84"/>
      <c r="B453" s="84"/>
    </row>
    <row r="454" spans="1:2" s="26" customFormat="1" x14ac:dyDescent="0.3">
      <c r="A454" s="84"/>
      <c r="B454" s="84"/>
    </row>
    <row r="455" spans="1:2" s="26" customFormat="1" x14ac:dyDescent="0.3">
      <c r="A455" s="84"/>
      <c r="B455" s="84"/>
    </row>
    <row r="456" spans="1:2" s="26" customFormat="1" x14ac:dyDescent="0.3">
      <c r="A456" s="84"/>
      <c r="B456" s="84"/>
    </row>
    <row r="457" spans="1:2" s="26" customFormat="1" x14ac:dyDescent="0.3">
      <c r="A457" s="84"/>
      <c r="B457" s="84"/>
    </row>
    <row r="458" spans="1:2" s="26" customFormat="1" x14ac:dyDescent="0.3">
      <c r="A458" s="84"/>
      <c r="B458" s="84"/>
    </row>
    <row r="459" spans="1:2" s="26" customFormat="1" x14ac:dyDescent="0.3">
      <c r="A459" s="84"/>
      <c r="B459" s="84"/>
    </row>
    <row r="460" spans="1:2" s="26" customFormat="1" x14ac:dyDescent="0.3">
      <c r="A460" s="84"/>
      <c r="B460" s="84"/>
    </row>
    <row r="461" spans="1:2" s="26" customFormat="1" x14ac:dyDescent="0.3">
      <c r="A461" s="84"/>
      <c r="B461" s="84"/>
    </row>
    <row r="462" spans="1:2" s="26" customFormat="1" x14ac:dyDescent="0.3">
      <c r="A462" s="84"/>
      <c r="B462" s="84"/>
    </row>
    <row r="463" spans="1:2" s="26" customFormat="1" x14ac:dyDescent="0.3">
      <c r="A463" s="84"/>
      <c r="B463" s="84"/>
    </row>
    <row r="464" spans="1:2" s="26" customFormat="1" x14ac:dyDescent="0.3">
      <c r="A464" s="84"/>
      <c r="B464" s="84"/>
    </row>
    <row r="465" spans="1:2" s="26" customFormat="1" x14ac:dyDescent="0.3">
      <c r="A465" s="84"/>
      <c r="B465" s="84"/>
    </row>
    <row r="466" spans="1:2" s="26" customFormat="1" x14ac:dyDescent="0.3">
      <c r="A466" s="84"/>
      <c r="B466" s="84"/>
    </row>
    <row r="467" spans="1:2" s="26" customFormat="1" x14ac:dyDescent="0.3">
      <c r="A467" s="84"/>
      <c r="B467" s="84"/>
    </row>
    <row r="468" spans="1:2" s="26" customFormat="1" x14ac:dyDescent="0.3">
      <c r="A468" s="84"/>
      <c r="B468" s="84"/>
    </row>
    <row r="469" spans="1:2" s="26" customFormat="1" x14ac:dyDescent="0.3">
      <c r="A469" s="84"/>
      <c r="B469" s="84"/>
    </row>
    <row r="470" spans="1:2" s="26" customFormat="1" x14ac:dyDescent="0.3">
      <c r="A470" s="84"/>
      <c r="B470" s="84"/>
    </row>
    <row r="471" spans="1:2" s="26" customFormat="1" x14ac:dyDescent="0.3">
      <c r="A471" s="84"/>
      <c r="B471" s="84"/>
    </row>
    <row r="472" spans="1:2" s="26" customFormat="1" x14ac:dyDescent="0.3">
      <c r="A472" s="84"/>
      <c r="B472" s="84"/>
    </row>
    <row r="473" spans="1:2" s="26" customFormat="1" x14ac:dyDescent="0.3">
      <c r="A473" s="84"/>
      <c r="B473" s="84"/>
    </row>
    <row r="474" spans="1:2" s="26" customFormat="1" x14ac:dyDescent="0.3">
      <c r="A474" s="84"/>
      <c r="B474" s="84"/>
    </row>
    <row r="475" spans="1:2" s="26" customFormat="1" x14ac:dyDescent="0.3">
      <c r="A475" s="84"/>
      <c r="B475" s="84"/>
    </row>
    <row r="476" spans="1:2" s="26" customFormat="1" x14ac:dyDescent="0.3">
      <c r="A476" s="84"/>
      <c r="B476" s="84"/>
    </row>
    <row r="477" spans="1:2" s="26" customFormat="1" x14ac:dyDescent="0.3">
      <c r="A477" s="84"/>
      <c r="B477" s="84"/>
    </row>
    <row r="478" spans="1:2" s="26" customFormat="1" x14ac:dyDescent="0.3">
      <c r="A478" s="84"/>
      <c r="B478" s="84"/>
    </row>
    <row r="479" spans="1:2" s="26" customFormat="1" x14ac:dyDescent="0.3">
      <c r="A479" s="84"/>
      <c r="B479" s="84"/>
    </row>
    <row r="480" spans="1:2" s="26" customFormat="1" x14ac:dyDescent="0.3">
      <c r="A480" s="84"/>
      <c r="B480" s="84"/>
    </row>
    <row r="481" spans="1:2" s="26" customFormat="1" x14ac:dyDescent="0.3">
      <c r="A481" s="84"/>
      <c r="B481" s="84"/>
    </row>
    <row r="482" spans="1:2" s="26" customFormat="1" x14ac:dyDescent="0.3">
      <c r="A482" s="84"/>
      <c r="B482" s="84"/>
    </row>
    <row r="483" spans="1:2" s="26" customFormat="1" x14ac:dyDescent="0.3">
      <c r="A483" s="84"/>
      <c r="B483" s="84"/>
    </row>
    <row r="484" spans="1:2" s="26" customFormat="1" x14ac:dyDescent="0.3">
      <c r="A484" s="84"/>
      <c r="B484" s="84"/>
    </row>
    <row r="485" spans="1:2" s="26" customFormat="1" x14ac:dyDescent="0.3">
      <c r="A485" s="84"/>
      <c r="B485" s="84"/>
    </row>
    <row r="486" spans="1:2" s="26" customFormat="1" x14ac:dyDescent="0.3">
      <c r="A486" s="84"/>
      <c r="B486" s="84"/>
    </row>
    <row r="487" spans="1:2" s="26" customFormat="1" x14ac:dyDescent="0.3">
      <c r="A487" s="84"/>
      <c r="B487" s="84"/>
    </row>
    <row r="488" spans="1:2" s="26" customFormat="1" x14ac:dyDescent="0.3">
      <c r="A488" s="84"/>
      <c r="B488" s="84"/>
    </row>
    <row r="489" spans="1:2" s="26" customFormat="1" x14ac:dyDescent="0.3">
      <c r="A489" s="84"/>
      <c r="B489" s="84"/>
    </row>
    <row r="490" spans="1:2" s="26" customFormat="1" x14ac:dyDescent="0.3">
      <c r="A490" s="84"/>
      <c r="B490" s="84"/>
    </row>
    <row r="491" spans="1:2" s="26" customFormat="1" x14ac:dyDescent="0.3">
      <c r="A491" s="84"/>
      <c r="B491" s="84"/>
    </row>
    <row r="492" spans="1:2" s="26" customFormat="1" x14ac:dyDescent="0.3">
      <c r="A492" s="84"/>
      <c r="B492" s="84"/>
    </row>
    <row r="493" spans="1:2" s="26" customFormat="1" x14ac:dyDescent="0.3">
      <c r="A493" s="84"/>
      <c r="B493" s="84"/>
    </row>
    <row r="494" spans="1:2" s="26" customFormat="1" x14ac:dyDescent="0.3">
      <c r="A494" s="84"/>
      <c r="B494" s="84"/>
    </row>
    <row r="495" spans="1:2" s="26" customFormat="1" x14ac:dyDescent="0.3">
      <c r="A495" s="84"/>
      <c r="B495" s="84"/>
    </row>
    <row r="496" spans="1:2" s="26" customFormat="1" x14ac:dyDescent="0.3">
      <c r="A496" s="84"/>
      <c r="B496" s="84"/>
    </row>
    <row r="497" spans="1:2" s="26" customFormat="1" x14ac:dyDescent="0.3">
      <c r="A497" s="84"/>
      <c r="B497" s="84"/>
    </row>
    <row r="498" spans="1:2" s="26" customFormat="1" x14ac:dyDescent="0.3">
      <c r="A498" s="84"/>
      <c r="B498" s="84"/>
    </row>
    <row r="499" spans="1:2" s="26" customFormat="1" x14ac:dyDescent="0.3">
      <c r="A499" s="84"/>
      <c r="B499" s="84"/>
    </row>
    <row r="500" spans="1:2" s="26" customFormat="1" x14ac:dyDescent="0.3">
      <c r="A500" s="84"/>
      <c r="B500" s="84"/>
    </row>
    <row r="501" spans="1:2" s="26" customFormat="1" x14ac:dyDescent="0.3">
      <c r="A501" s="84"/>
      <c r="B501" s="84"/>
    </row>
    <row r="502" spans="1:2" s="26" customFormat="1" x14ac:dyDescent="0.3">
      <c r="A502" s="84"/>
      <c r="B502" s="84"/>
    </row>
    <row r="503" spans="1:2" s="26" customFormat="1" x14ac:dyDescent="0.3">
      <c r="A503" s="84"/>
      <c r="B503" s="84"/>
    </row>
    <row r="504" spans="1:2" s="26" customFormat="1" x14ac:dyDescent="0.3">
      <c r="A504" s="84"/>
      <c r="B504" s="84"/>
    </row>
    <row r="505" spans="1:2" s="26" customFormat="1" x14ac:dyDescent="0.3">
      <c r="A505" s="84"/>
      <c r="B505" s="84"/>
    </row>
    <row r="506" spans="1:2" s="26" customFormat="1" x14ac:dyDescent="0.3">
      <c r="A506" s="84"/>
      <c r="B506" s="84"/>
    </row>
    <row r="507" spans="1:2" s="26" customFormat="1" x14ac:dyDescent="0.3">
      <c r="A507" s="84"/>
      <c r="B507" s="84"/>
    </row>
    <row r="508" spans="1:2" s="26" customFormat="1" x14ac:dyDescent="0.3">
      <c r="A508" s="84"/>
      <c r="B508" s="84"/>
    </row>
    <row r="509" spans="1:2" s="26" customFormat="1" x14ac:dyDescent="0.3">
      <c r="A509" s="84"/>
      <c r="B509" s="84"/>
    </row>
    <row r="510" spans="1:2" s="26" customFormat="1" x14ac:dyDescent="0.3">
      <c r="A510" s="84"/>
      <c r="B510" s="84"/>
    </row>
    <row r="511" spans="1:2" s="26" customFormat="1" x14ac:dyDescent="0.3">
      <c r="A511" s="84"/>
      <c r="B511" s="84"/>
    </row>
    <row r="512" spans="1:2" s="26" customFormat="1" x14ac:dyDescent="0.3">
      <c r="A512" s="84"/>
      <c r="B512" s="84"/>
    </row>
    <row r="513" spans="1:2" s="26" customFormat="1" x14ac:dyDescent="0.3">
      <c r="A513" s="84"/>
      <c r="B513" s="84"/>
    </row>
    <row r="514" spans="1:2" s="26" customFormat="1" x14ac:dyDescent="0.3">
      <c r="A514" s="84"/>
      <c r="B514" s="84"/>
    </row>
    <row r="515" spans="1:2" s="26" customFormat="1" x14ac:dyDescent="0.3">
      <c r="A515" s="84"/>
      <c r="B515" s="84"/>
    </row>
    <row r="516" spans="1:2" s="26" customFormat="1" x14ac:dyDescent="0.3">
      <c r="A516" s="84"/>
      <c r="B516" s="84"/>
    </row>
    <row r="517" spans="1:2" s="26" customFormat="1" x14ac:dyDescent="0.3">
      <c r="A517" s="84"/>
      <c r="B517" s="84"/>
    </row>
    <row r="518" spans="1:2" s="26" customFormat="1" x14ac:dyDescent="0.3">
      <c r="A518" s="84"/>
      <c r="B518" s="84"/>
    </row>
    <row r="519" spans="1:2" s="26" customFormat="1" x14ac:dyDescent="0.3">
      <c r="A519" s="84"/>
      <c r="B519" s="84"/>
    </row>
    <row r="520" spans="1:2" s="26" customFormat="1" x14ac:dyDescent="0.3">
      <c r="A520" s="84"/>
      <c r="B520" s="84"/>
    </row>
    <row r="521" spans="1:2" s="26" customFormat="1" x14ac:dyDescent="0.3">
      <c r="A521" s="84"/>
      <c r="B521" s="84"/>
    </row>
    <row r="522" spans="1:2" s="26" customFormat="1" x14ac:dyDescent="0.3">
      <c r="A522" s="84"/>
      <c r="B522" s="84"/>
    </row>
    <row r="523" spans="1:2" s="26" customFormat="1" x14ac:dyDescent="0.3">
      <c r="A523" s="84"/>
      <c r="B523" s="84"/>
    </row>
    <row r="524" spans="1:2" s="26" customFormat="1" x14ac:dyDescent="0.3">
      <c r="A524" s="84"/>
      <c r="B524" s="84"/>
    </row>
    <row r="525" spans="1:2" s="26" customFormat="1" x14ac:dyDescent="0.3">
      <c r="A525" s="84"/>
      <c r="B525" s="84"/>
    </row>
    <row r="526" spans="1:2" s="26" customFormat="1" x14ac:dyDescent="0.3">
      <c r="A526" s="84"/>
      <c r="B526" s="84"/>
    </row>
    <row r="527" spans="1:2" s="26" customFormat="1" x14ac:dyDescent="0.3">
      <c r="A527" s="84"/>
      <c r="B527" s="84"/>
    </row>
    <row r="528" spans="1:2" s="26" customFormat="1" x14ac:dyDescent="0.3">
      <c r="A528" s="84"/>
      <c r="B528" s="84"/>
    </row>
    <row r="529" spans="1:2" s="26" customFormat="1" x14ac:dyDescent="0.3">
      <c r="A529" s="84"/>
      <c r="B529" s="84"/>
    </row>
    <row r="530" spans="1:2" s="26" customFormat="1" x14ac:dyDescent="0.3">
      <c r="A530" s="84"/>
      <c r="B530" s="84"/>
    </row>
    <row r="531" spans="1:2" s="26" customFormat="1" x14ac:dyDescent="0.3">
      <c r="A531" s="84"/>
      <c r="B531" s="84"/>
    </row>
    <row r="532" spans="1:2" s="26" customFormat="1" x14ac:dyDescent="0.3">
      <c r="A532" s="84"/>
      <c r="B532" s="84"/>
    </row>
    <row r="533" spans="1:2" s="26" customFormat="1" x14ac:dyDescent="0.3">
      <c r="A533" s="84"/>
      <c r="B533" s="84"/>
    </row>
    <row r="534" spans="1:2" s="26" customFormat="1" x14ac:dyDescent="0.3">
      <c r="A534" s="84"/>
      <c r="B534" s="84"/>
    </row>
    <row r="535" spans="1:2" s="26" customFormat="1" x14ac:dyDescent="0.3">
      <c r="A535" s="84"/>
      <c r="B535" s="84"/>
    </row>
    <row r="536" spans="1:2" s="26" customFormat="1" x14ac:dyDescent="0.3">
      <c r="A536" s="84"/>
      <c r="B536" s="84"/>
    </row>
    <row r="537" spans="1:2" s="26" customFormat="1" x14ac:dyDescent="0.3">
      <c r="A537" s="84"/>
      <c r="B537" s="84"/>
    </row>
    <row r="538" spans="1:2" s="26" customFormat="1" x14ac:dyDescent="0.3">
      <c r="A538" s="84"/>
      <c r="B538" s="84"/>
    </row>
    <row r="539" spans="1:2" s="26" customFormat="1" x14ac:dyDescent="0.3">
      <c r="A539" s="84"/>
      <c r="B539" s="84"/>
    </row>
    <row r="540" spans="1:2" s="26" customFormat="1" x14ac:dyDescent="0.3">
      <c r="A540" s="84"/>
      <c r="B540" s="84"/>
    </row>
    <row r="541" spans="1:2" s="26" customFormat="1" x14ac:dyDescent="0.3">
      <c r="A541" s="84"/>
      <c r="B541" s="84"/>
    </row>
    <row r="542" spans="1:2" s="26" customFormat="1" x14ac:dyDescent="0.3">
      <c r="A542" s="84"/>
      <c r="B542" s="84"/>
    </row>
    <row r="543" spans="1:2" s="26" customFormat="1" x14ac:dyDescent="0.3">
      <c r="A543" s="84"/>
      <c r="B543" s="84"/>
    </row>
    <row r="544" spans="1:2" s="26" customFormat="1" x14ac:dyDescent="0.3">
      <c r="A544" s="84"/>
      <c r="B544" s="84"/>
    </row>
    <row r="545" spans="1:2" s="26" customFormat="1" x14ac:dyDescent="0.3">
      <c r="A545" s="84"/>
      <c r="B545" s="84"/>
    </row>
    <row r="546" spans="1:2" s="26" customFormat="1" x14ac:dyDescent="0.3">
      <c r="A546" s="84"/>
      <c r="B546" s="84"/>
    </row>
    <row r="547" spans="1:2" s="26" customFormat="1" x14ac:dyDescent="0.3">
      <c r="A547" s="84"/>
      <c r="B547" s="84"/>
    </row>
    <row r="548" spans="1:2" s="26" customFormat="1" x14ac:dyDescent="0.3">
      <c r="A548" s="84"/>
      <c r="B548" s="84"/>
    </row>
    <row r="549" spans="1:2" s="26" customFormat="1" x14ac:dyDescent="0.3">
      <c r="A549" s="84"/>
      <c r="B549" s="84"/>
    </row>
    <row r="550" spans="1:2" s="26" customFormat="1" x14ac:dyDescent="0.3">
      <c r="A550" s="84"/>
      <c r="B550" s="84"/>
    </row>
    <row r="551" spans="1:2" s="26" customFormat="1" x14ac:dyDescent="0.3">
      <c r="A551" s="84"/>
      <c r="B551" s="84"/>
    </row>
    <row r="552" spans="1:2" s="26" customFormat="1" x14ac:dyDescent="0.3">
      <c r="A552" s="84"/>
      <c r="B552" s="84"/>
    </row>
    <row r="553" spans="1:2" s="26" customFormat="1" x14ac:dyDescent="0.3">
      <c r="A553" s="84"/>
      <c r="B553" s="84"/>
    </row>
    <row r="554" spans="1:2" s="26" customFormat="1" x14ac:dyDescent="0.3">
      <c r="A554" s="84"/>
      <c r="B554" s="84"/>
    </row>
    <row r="555" spans="1:2" s="26" customFormat="1" x14ac:dyDescent="0.3">
      <c r="A555" s="84"/>
      <c r="B555" s="84"/>
    </row>
    <row r="556" spans="1:2" s="26" customFormat="1" x14ac:dyDescent="0.3">
      <c r="A556" s="84"/>
      <c r="B556" s="84"/>
    </row>
    <row r="557" spans="1:2" s="26" customFormat="1" x14ac:dyDescent="0.3">
      <c r="A557" s="84"/>
      <c r="B557" s="84"/>
    </row>
    <row r="558" spans="1:2" s="26" customFormat="1" x14ac:dyDescent="0.3">
      <c r="A558" s="84"/>
      <c r="B558" s="84"/>
    </row>
    <row r="559" spans="1:2" s="26" customFormat="1" x14ac:dyDescent="0.3">
      <c r="A559" s="84"/>
      <c r="B559" s="84"/>
    </row>
    <row r="560" spans="1:2" s="26" customFormat="1" x14ac:dyDescent="0.3">
      <c r="A560" s="84"/>
      <c r="B560" s="84"/>
    </row>
    <row r="561" spans="1:2" s="26" customFormat="1" x14ac:dyDescent="0.3">
      <c r="A561" s="84"/>
      <c r="B561" s="84"/>
    </row>
    <row r="562" spans="1:2" s="26" customFormat="1" x14ac:dyDescent="0.3">
      <c r="A562" s="84"/>
      <c r="B562" s="84"/>
    </row>
    <row r="563" spans="1:2" s="26" customFormat="1" x14ac:dyDescent="0.3">
      <c r="A563" s="84"/>
      <c r="B563" s="84"/>
    </row>
    <row r="564" spans="1:2" s="26" customFormat="1" x14ac:dyDescent="0.3">
      <c r="A564" s="84"/>
      <c r="B564" s="84"/>
    </row>
    <row r="565" spans="1:2" s="26" customFormat="1" x14ac:dyDescent="0.3">
      <c r="A565" s="84"/>
      <c r="B565" s="84"/>
    </row>
    <row r="566" spans="1:2" s="26" customFormat="1" x14ac:dyDescent="0.3">
      <c r="A566" s="84"/>
      <c r="B566" s="84"/>
    </row>
    <row r="567" spans="1:2" s="26" customFormat="1" x14ac:dyDescent="0.3">
      <c r="A567" s="84"/>
      <c r="B567" s="84"/>
    </row>
    <row r="568" spans="1:2" s="26" customFormat="1" x14ac:dyDescent="0.3">
      <c r="A568" s="84"/>
      <c r="B568" s="84"/>
    </row>
    <row r="569" spans="1:2" s="26" customFormat="1" x14ac:dyDescent="0.3">
      <c r="A569" s="84"/>
      <c r="B569" s="84"/>
    </row>
    <row r="570" spans="1:2" s="26" customFormat="1" x14ac:dyDescent="0.3">
      <c r="A570" s="84"/>
      <c r="B570" s="84"/>
    </row>
    <row r="571" spans="1:2" s="26" customFormat="1" x14ac:dyDescent="0.3">
      <c r="A571" s="84"/>
      <c r="B571" s="84"/>
    </row>
    <row r="572" spans="1:2" s="26" customFormat="1" x14ac:dyDescent="0.3">
      <c r="A572" s="84"/>
      <c r="B572" s="84"/>
    </row>
    <row r="573" spans="1:2" s="26" customFormat="1" x14ac:dyDescent="0.3">
      <c r="A573" s="84"/>
      <c r="B573" s="84"/>
    </row>
    <row r="574" spans="1:2" s="26" customFormat="1" x14ac:dyDescent="0.3">
      <c r="A574" s="84"/>
      <c r="B574" s="84"/>
    </row>
    <row r="575" spans="1:2" s="26" customFormat="1" x14ac:dyDescent="0.3">
      <c r="A575" s="84"/>
      <c r="B575" s="84"/>
    </row>
    <row r="576" spans="1:2" s="26" customFormat="1" x14ac:dyDescent="0.3">
      <c r="A576" s="84"/>
      <c r="B576" s="84"/>
    </row>
    <row r="577" spans="1:2" s="26" customFormat="1" x14ac:dyDescent="0.3">
      <c r="A577" s="84"/>
      <c r="B577" s="84"/>
    </row>
    <row r="578" spans="1:2" s="26" customFormat="1" x14ac:dyDescent="0.3">
      <c r="A578" s="84"/>
      <c r="B578" s="84"/>
    </row>
    <row r="579" spans="1:2" s="26" customFormat="1" x14ac:dyDescent="0.3">
      <c r="A579" s="84"/>
      <c r="B579" s="84"/>
    </row>
    <row r="580" spans="1:2" s="26" customFormat="1" x14ac:dyDescent="0.3">
      <c r="A580" s="84"/>
      <c r="B580" s="84"/>
    </row>
    <row r="581" spans="1:2" s="26" customFormat="1" x14ac:dyDescent="0.3">
      <c r="A581" s="84"/>
      <c r="B581" s="84"/>
    </row>
    <row r="582" spans="1:2" s="26" customFormat="1" x14ac:dyDescent="0.3">
      <c r="A582" s="84"/>
      <c r="B582" s="84"/>
    </row>
    <row r="583" spans="1:2" s="26" customFormat="1" x14ac:dyDescent="0.3">
      <c r="A583" s="84"/>
      <c r="B583" s="84"/>
    </row>
    <row r="584" spans="1:2" s="26" customFormat="1" x14ac:dyDescent="0.3">
      <c r="A584" s="84"/>
      <c r="B584" s="84"/>
    </row>
    <row r="585" spans="1:2" s="26" customFormat="1" x14ac:dyDescent="0.3">
      <c r="A585" s="84"/>
      <c r="B585" s="84"/>
    </row>
    <row r="586" spans="1:2" s="26" customFormat="1" x14ac:dyDescent="0.3">
      <c r="A586" s="84"/>
      <c r="B586" s="84"/>
    </row>
    <row r="587" spans="1:2" s="26" customFormat="1" x14ac:dyDescent="0.3">
      <c r="A587" s="84"/>
      <c r="B587" s="84"/>
    </row>
    <row r="588" spans="1:2" s="26" customFormat="1" x14ac:dyDescent="0.3">
      <c r="A588" s="84"/>
      <c r="B588" s="84"/>
    </row>
    <row r="589" spans="1:2" s="26" customFormat="1" x14ac:dyDescent="0.3">
      <c r="A589" s="84"/>
      <c r="B589" s="84"/>
    </row>
    <row r="590" spans="1:2" s="26" customFormat="1" x14ac:dyDescent="0.3">
      <c r="A590" s="84"/>
      <c r="B590" s="84"/>
    </row>
    <row r="591" spans="1:2" s="26" customFormat="1" x14ac:dyDescent="0.3">
      <c r="A591" s="84"/>
      <c r="B591" s="84"/>
    </row>
    <row r="592" spans="1:2" s="26" customFormat="1" x14ac:dyDescent="0.3">
      <c r="A592" s="84"/>
      <c r="B592" s="84"/>
    </row>
    <row r="593" spans="1:2" s="26" customFormat="1" x14ac:dyDescent="0.3">
      <c r="A593" s="84"/>
      <c r="B593" s="84"/>
    </row>
    <row r="594" spans="1:2" s="26" customFormat="1" x14ac:dyDescent="0.3">
      <c r="A594" s="84"/>
      <c r="B594" s="84"/>
    </row>
    <row r="595" spans="1:2" s="26" customFormat="1" x14ac:dyDescent="0.3">
      <c r="A595" s="84"/>
      <c r="B595" s="84"/>
    </row>
    <row r="596" spans="1:2" s="26" customFormat="1" x14ac:dyDescent="0.3">
      <c r="A596" s="84"/>
      <c r="B596" s="84"/>
    </row>
    <row r="597" spans="1:2" s="26" customFormat="1" x14ac:dyDescent="0.3">
      <c r="A597" s="84"/>
      <c r="B597" s="84"/>
    </row>
    <row r="598" spans="1:2" s="26" customFormat="1" x14ac:dyDescent="0.3">
      <c r="A598" s="84"/>
      <c r="B598" s="84"/>
    </row>
    <row r="599" spans="1:2" s="26" customFormat="1" x14ac:dyDescent="0.3">
      <c r="A599" s="84"/>
      <c r="B599" s="84"/>
    </row>
    <row r="600" spans="1:2" s="26" customFormat="1" x14ac:dyDescent="0.3">
      <c r="A600" s="84"/>
      <c r="B600" s="84"/>
    </row>
    <row r="601" spans="1:2" s="26" customFormat="1" x14ac:dyDescent="0.3">
      <c r="A601" s="84"/>
      <c r="B601" s="84"/>
    </row>
    <row r="602" spans="1:2" s="26" customFormat="1" x14ac:dyDescent="0.3">
      <c r="A602" s="84"/>
      <c r="B602" s="84"/>
    </row>
    <row r="603" spans="1:2" s="26" customFormat="1" x14ac:dyDescent="0.3">
      <c r="A603" s="84"/>
      <c r="B603" s="84"/>
    </row>
    <row r="604" spans="1:2" s="26" customFormat="1" x14ac:dyDescent="0.3">
      <c r="A604" s="84"/>
      <c r="B604" s="84"/>
    </row>
    <row r="605" spans="1:2" s="26" customFormat="1" x14ac:dyDescent="0.3">
      <c r="A605" s="84"/>
      <c r="B605" s="84"/>
    </row>
    <row r="606" spans="1:2" s="26" customFormat="1" x14ac:dyDescent="0.3">
      <c r="A606" s="84"/>
      <c r="B606" s="84"/>
    </row>
    <row r="607" spans="1:2" s="26" customFormat="1" x14ac:dyDescent="0.3">
      <c r="A607" s="84"/>
      <c r="B607" s="84"/>
    </row>
    <row r="608" spans="1:2" s="26" customFormat="1" x14ac:dyDescent="0.3">
      <c r="A608" s="84"/>
      <c r="B608" s="84"/>
    </row>
    <row r="609" spans="1:2" s="26" customFormat="1" x14ac:dyDescent="0.3">
      <c r="A609" s="84"/>
      <c r="B609" s="84"/>
    </row>
    <row r="610" spans="1:2" s="26" customFormat="1" x14ac:dyDescent="0.3">
      <c r="A610" s="84"/>
      <c r="B610" s="84"/>
    </row>
    <row r="611" spans="1:2" s="26" customFormat="1" x14ac:dyDescent="0.3">
      <c r="A611" s="84"/>
      <c r="B611" s="84"/>
    </row>
    <row r="612" spans="1:2" s="26" customFormat="1" x14ac:dyDescent="0.3">
      <c r="A612" s="84"/>
      <c r="B612" s="84"/>
    </row>
    <row r="613" spans="1:2" s="26" customFormat="1" x14ac:dyDescent="0.3"/>
    <row r="614" spans="1:2" s="26" customFormat="1" x14ac:dyDescent="0.3"/>
    <row r="615" spans="1:2" s="26" customFormat="1" x14ac:dyDescent="0.3"/>
    <row r="616" spans="1:2" s="26" customFormat="1" x14ac:dyDescent="0.3"/>
    <row r="617" spans="1:2" s="26" customFormat="1" x14ac:dyDescent="0.3"/>
    <row r="618" spans="1:2" s="26" customFormat="1" x14ac:dyDescent="0.3"/>
    <row r="619" spans="1:2" s="26" customFormat="1" x14ac:dyDescent="0.3"/>
    <row r="620" spans="1:2" s="26" customFormat="1" x14ac:dyDescent="0.3"/>
    <row r="621" spans="1:2" s="26" customFormat="1" x14ac:dyDescent="0.3"/>
    <row r="622" spans="1:2" s="26" customFormat="1" x14ac:dyDescent="0.3"/>
    <row r="623" spans="1:2" s="26" customFormat="1" x14ac:dyDescent="0.3"/>
    <row r="624" spans="1:2" s="26" customFormat="1" x14ac:dyDescent="0.3"/>
    <row r="625" s="26" customFormat="1" x14ac:dyDescent="0.3"/>
    <row r="626" s="26" customFormat="1" x14ac:dyDescent="0.3"/>
    <row r="627" s="26" customFormat="1" x14ac:dyDescent="0.3"/>
    <row r="628" s="26" customFormat="1" x14ac:dyDescent="0.3"/>
    <row r="629" s="26" customFormat="1" x14ac:dyDescent="0.3"/>
    <row r="630" s="26" customFormat="1" x14ac:dyDescent="0.3"/>
    <row r="631" s="26" customFormat="1" x14ac:dyDescent="0.3"/>
    <row r="632" s="26" customFormat="1" x14ac:dyDescent="0.3"/>
    <row r="633" s="26" customFormat="1" x14ac:dyDescent="0.3"/>
    <row r="634" s="26" customFormat="1" x14ac:dyDescent="0.3"/>
    <row r="635" s="26" customFormat="1" x14ac:dyDescent="0.3"/>
    <row r="636" s="26" customFormat="1" x14ac:dyDescent="0.3"/>
    <row r="637" s="26" customFormat="1" x14ac:dyDescent="0.3"/>
    <row r="638" s="26" customFormat="1" x14ac:dyDescent="0.3"/>
    <row r="639" s="26" customFormat="1" x14ac:dyDescent="0.3"/>
    <row r="640" s="26" customFormat="1" x14ac:dyDescent="0.3"/>
    <row r="641" s="26" customFormat="1" x14ac:dyDescent="0.3"/>
    <row r="642" s="26" customFormat="1" x14ac:dyDescent="0.3"/>
    <row r="643" s="26" customFormat="1" x14ac:dyDescent="0.3"/>
    <row r="644" s="26" customFormat="1" x14ac:dyDescent="0.3"/>
    <row r="645" s="26" customFormat="1" x14ac:dyDescent="0.3"/>
    <row r="646" s="26" customFormat="1" x14ac:dyDescent="0.3"/>
    <row r="647" s="26" customFormat="1" x14ac:dyDescent="0.3"/>
    <row r="648" s="26" customFormat="1" x14ac:dyDescent="0.3"/>
    <row r="649" s="26" customFormat="1" x14ac:dyDescent="0.3"/>
    <row r="650" s="26" customFormat="1" x14ac:dyDescent="0.3"/>
    <row r="651" s="26" customFormat="1" x14ac:dyDescent="0.3"/>
    <row r="652" s="26" customFormat="1" x14ac:dyDescent="0.3"/>
    <row r="653" s="26" customFormat="1" x14ac:dyDescent="0.3"/>
    <row r="654" s="26" customFormat="1" x14ac:dyDescent="0.3"/>
    <row r="655" s="26" customFormat="1" x14ac:dyDescent="0.3"/>
    <row r="656" s="26" customFormat="1" x14ac:dyDescent="0.3"/>
    <row r="657" s="26" customFormat="1" x14ac:dyDescent="0.3"/>
    <row r="658" s="26" customFormat="1" x14ac:dyDescent="0.3"/>
    <row r="659" s="26" customFormat="1" x14ac:dyDescent="0.3"/>
    <row r="660" s="26" customFormat="1" x14ac:dyDescent="0.3"/>
    <row r="661" s="26" customFormat="1" x14ac:dyDescent="0.3"/>
    <row r="662" s="26" customFormat="1" x14ac:dyDescent="0.3"/>
    <row r="663" s="26" customFormat="1" x14ac:dyDescent="0.3"/>
    <row r="664" s="26" customFormat="1" x14ac:dyDescent="0.3"/>
    <row r="665" s="26" customFormat="1" x14ac:dyDescent="0.3"/>
    <row r="666" s="26" customFormat="1" x14ac:dyDescent="0.3"/>
    <row r="667" s="26" customFormat="1" x14ac:dyDescent="0.3"/>
    <row r="668" s="26" customFormat="1" x14ac:dyDescent="0.3"/>
    <row r="669" s="26" customFormat="1" x14ac:dyDescent="0.3"/>
    <row r="670" s="26" customFormat="1" x14ac:dyDescent="0.3"/>
    <row r="671" s="26" customFormat="1" x14ac:dyDescent="0.3"/>
    <row r="672" s="26" customFormat="1" x14ac:dyDescent="0.3"/>
    <row r="673" s="26" customFormat="1" x14ac:dyDescent="0.3"/>
    <row r="674" s="26" customFormat="1" x14ac:dyDescent="0.3"/>
    <row r="675" s="26" customFormat="1" x14ac:dyDescent="0.3"/>
    <row r="676" s="26" customFormat="1" x14ac:dyDescent="0.3"/>
    <row r="677" s="26" customFormat="1" x14ac:dyDescent="0.3"/>
    <row r="678" s="26" customFormat="1" x14ac:dyDescent="0.3"/>
    <row r="679" s="26" customFormat="1" x14ac:dyDescent="0.3"/>
    <row r="680" s="26" customFormat="1" x14ac:dyDescent="0.3"/>
    <row r="681" s="26" customFormat="1" x14ac:dyDescent="0.3"/>
    <row r="682" s="26" customFormat="1" x14ac:dyDescent="0.3"/>
    <row r="683" s="26" customFormat="1" x14ac:dyDescent="0.3"/>
    <row r="684" s="26" customFormat="1" x14ac:dyDescent="0.3"/>
    <row r="685" s="26" customFormat="1" x14ac:dyDescent="0.3"/>
    <row r="686" s="26" customFormat="1" x14ac:dyDescent="0.3"/>
    <row r="687" s="26" customFormat="1" x14ac:dyDescent="0.3"/>
    <row r="688" s="26" customFormat="1" x14ac:dyDescent="0.3"/>
    <row r="689" s="26" customFormat="1" x14ac:dyDescent="0.3"/>
    <row r="690" s="26" customFormat="1" x14ac:dyDescent="0.3"/>
    <row r="691" s="26" customFormat="1" x14ac:dyDescent="0.3"/>
    <row r="692" s="26" customFormat="1" x14ac:dyDescent="0.3"/>
    <row r="693" s="26" customFormat="1" x14ac:dyDescent="0.3"/>
    <row r="694" s="26" customFormat="1" x14ac:dyDescent="0.3"/>
    <row r="695" s="26" customFormat="1" x14ac:dyDescent="0.3"/>
    <row r="696" s="26" customFormat="1" x14ac:dyDescent="0.3"/>
    <row r="697" s="26" customFormat="1" x14ac:dyDescent="0.3"/>
    <row r="698" s="26" customFormat="1" x14ac:dyDescent="0.3"/>
    <row r="699" s="26" customFormat="1" x14ac:dyDescent="0.3"/>
    <row r="700" s="26" customFormat="1" x14ac:dyDescent="0.3"/>
    <row r="701" s="26" customFormat="1" x14ac:dyDescent="0.3"/>
    <row r="702" s="26" customFormat="1" x14ac:dyDescent="0.3"/>
    <row r="703" s="26" customFormat="1" x14ac:dyDescent="0.3"/>
    <row r="704" s="26" customFormat="1" x14ac:dyDescent="0.3"/>
    <row r="705" s="26" customFormat="1" x14ac:dyDescent="0.3"/>
    <row r="706" s="26" customFormat="1" x14ac:dyDescent="0.3"/>
    <row r="707" s="26" customFormat="1" x14ac:dyDescent="0.3"/>
    <row r="708" s="26" customFormat="1" x14ac:dyDescent="0.3"/>
    <row r="709" s="26" customFormat="1" x14ac:dyDescent="0.3"/>
    <row r="710" s="26" customFormat="1" x14ac:dyDescent="0.3"/>
    <row r="711" s="26" customFormat="1" x14ac:dyDescent="0.3"/>
    <row r="712" s="26" customFormat="1" x14ac:dyDescent="0.3"/>
    <row r="713" s="26" customFormat="1" x14ac:dyDescent="0.3"/>
    <row r="714" s="26" customFormat="1" x14ac:dyDescent="0.3"/>
    <row r="715" s="26" customFormat="1" x14ac:dyDescent="0.3"/>
    <row r="716" s="26" customFormat="1" x14ac:dyDescent="0.3"/>
    <row r="717" s="26" customFormat="1" x14ac:dyDescent="0.3"/>
    <row r="718" s="26" customFormat="1" x14ac:dyDescent="0.3"/>
    <row r="719" s="26" customFormat="1" x14ac:dyDescent="0.3"/>
    <row r="720" s="26" customFormat="1" x14ac:dyDescent="0.3"/>
    <row r="721" s="26" customFormat="1" x14ac:dyDescent="0.3"/>
    <row r="722" s="26" customFormat="1" x14ac:dyDescent="0.3"/>
    <row r="723" s="26" customFormat="1" x14ac:dyDescent="0.3"/>
    <row r="724" s="26" customFormat="1" x14ac:dyDescent="0.3"/>
    <row r="725" s="26" customFormat="1" x14ac:dyDescent="0.3"/>
    <row r="726" s="26" customFormat="1" x14ac:dyDescent="0.3"/>
    <row r="727" s="26" customFormat="1" x14ac:dyDescent="0.3"/>
    <row r="728" s="26" customFormat="1" x14ac:dyDescent="0.3"/>
    <row r="729" s="26" customFormat="1" x14ac:dyDescent="0.3"/>
    <row r="730" s="26" customFormat="1" x14ac:dyDescent="0.3"/>
  </sheetData>
  <sheetProtection algorithmName="SHA-512" hashValue="RiCIJweyDDLAtcHFaks3jvs4ffcHhlihhQITbiR3VL0KSqyEXhTDzL7aldPiudzojddVnO8G6j17TXBRqiLpIA==" saltValue="y5u43sAaa1A8KNRYwSscXw==" spinCount="100000" sheet="1" objects="1" scenarios="1"/>
  <sortState ref="A1:C602">
    <sortCondition ref="B1"/>
  </sortState>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4"/>
  <dimension ref="A1:P539"/>
  <sheetViews>
    <sheetView workbookViewId="0">
      <selection activeCell="D5" sqref="D5"/>
    </sheetView>
  </sheetViews>
  <sheetFormatPr defaultRowHeight="14.4" x14ac:dyDescent="0.3"/>
  <sheetData>
    <row r="1" spans="1:16" ht="15" x14ac:dyDescent="0.25">
      <c r="A1" s="72" t="s">
        <v>13</v>
      </c>
      <c r="B1" s="72" t="s">
        <v>1827</v>
      </c>
      <c r="C1" s="74">
        <v>2017</v>
      </c>
      <c r="D1" s="81">
        <v>11.2</v>
      </c>
      <c r="E1" s="72" t="s">
        <v>1821</v>
      </c>
      <c r="F1" s="76" t="s">
        <v>1822</v>
      </c>
      <c r="G1" s="72" t="s">
        <v>1165</v>
      </c>
      <c r="H1" s="72" t="s">
        <v>18</v>
      </c>
      <c r="I1" s="72"/>
      <c r="J1" s="77"/>
      <c r="K1" s="77"/>
      <c r="L1" s="77"/>
      <c r="M1" s="78" t="s">
        <v>1824</v>
      </c>
      <c r="N1" s="78" t="s">
        <v>1825</v>
      </c>
      <c r="O1" s="78"/>
      <c r="P1" s="80">
        <v>11.2</v>
      </c>
    </row>
    <row r="2" spans="1:16" ht="15" x14ac:dyDescent="0.25">
      <c r="A2" s="72" t="s">
        <v>26</v>
      </c>
      <c r="B2" s="72" t="s">
        <v>1403</v>
      </c>
      <c r="C2" s="74">
        <v>2017</v>
      </c>
      <c r="D2" s="81">
        <v>77.5</v>
      </c>
      <c r="E2" s="72" t="s">
        <v>1821</v>
      </c>
      <c r="F2" s="76" t="s">
        <v>1822</v>
      </c>
      <c r="G2" s="72" t="s">
        <v>1255</v>
      </c>
      <c r="H2" s="72" t="s">
        <v>18</v>
      </c>
      <c r="I2" s="72"/>
      <c r="J2" s="77"/>
      <c r="K2" s="77"/>
      <c r="L2" s="77"/>
      <c r="M2" s="78" t="s">
        <v>1824</v>
      </c>
      <c r="N2" s="78" t="s">
        <v>1825</v>
      </c>
      <c r="O2" s="78"/>
      <c r="P2" s="80">
        <v>77.5</v>
      </c>
    </row>
    <row r="3" spans="1:16" ht="15" x14ac:dyDescent="0.25">
      <c r="A3" s="72" t="s">
        <v>44</v>
      </c>
      <c r="B3" s="72" t="s">
        <v>1406</v>
      </c>
      <c r="C3" s="74">
        <v>2017</v>
      </c>
      <c r="D3" s="81">
        <v>83.91</v>
      </c>
      <c r="E3" s="72" t="s">
        <v>1821</v>
      </c>
      <c r="F3" s="76" t="s">
        <v>1822</v>
      </c>
      <c r="G3" s="72" t="s">
        <v>1255</v>
      </c>
      <c r="H3" s="72" t="s">
        <v>18</v>
      </c>
      <c r="I3" s="72"/>
      <c r="J3" s="77"/>
      <c r="K3" s="77"/>
      <c r="L3" s="77"/>
      <c r="M3" s="78" t="s">
        <v>1824</v>
      </c>
      <c r="N3" s="78" t="s">
        <v>1825</v>
      </c>
      <c r="O3" s="78"/>
      <c r="P3" s="80">
        <v>83.91</v>
      </c>
    </row>
    <row r="4" spans="1:16" ht="15" x14ac:dyDescent="0.25">
      <c r="A4" s="72" t="s">
        <v>28</v>
      </c>
      <c r="B4" s="72" t="s">
        <v>1828</v>
      </c>
      <c r="C4" s="74">
        <v>2017</v>
      </c>
      <c r="D4" s="81">
        <v>77.5</v>
      </c>
      <c r="E4" s="72" t="s">
        <v>1821</v>
      </c>
      <c r="F4" s="76" t="s">
        <v>1822</v>
      </c>
      <c r="G4" s="72" t="s">
        <v>1255</v>
      </c>
      <c r="H4" s="72" t="s">
        <v>18</v>
      </c>
      <c r="I4" s="72"/>
      <c r="J4" s="77"/>
      <c r="K4" s="77"/>
      <c r="L4" s="77"/>
      <c r="M4" s="78" t="s">
        <v>1824</v>
      </c>
      <c r="N4" s="78" t="s">
        <v>1825</v>
      </c>
      <c r="O4" s="78"/>
      <c r="P4" s="80">
        <v>77.5</v>
      </c>
    </row>
    <row r="5" spans="1:16" x14ac:dyDescent="0.3">
      <c r="A5" s="72" t="s">
        <v>1797</v>
      </c>
      <c r="B5" s="73" t="s">
        <v>1795</v>
      </c>
      <c r="C5" s="74">
        <v>2017</v>
      </c>
      <c r="D5" s="75">
        <v>30.41</v>
      </c>
      <c r="E5" s="72" t="s">
        <v>1821</v>
      </c>
      <c r="F5" s="76" t="s">
        <v>1822</v>
      </c>
      <c r="G5" s="72" t="s">
        <v>1823</v>
      </c>
      <c r="H5" s="72" t="s">
        <v>18</v>
      </c>
      <c r="I5" s="72"/>
      <c r="J5" s="77"/>
      <c r="K5" s="77"/>
      <c r="L5" s="77"/>
      <c r="M5" s="78" t="s">
        <v>1824</v>
      </c>
      <c r="N5" s="78" t="s">
        <v>1825</v>
      </c>
      <c r="O5" s="79" t="s">
        <v>1826</v>
      </c>
      <c r="P5" s="80">
        <v>30.41</v>
      </c>
    </row>
    <row r="6" spans="1:16" ht="15" x14ac:dyDescent="0.25">
      <c r="A6" s="72" t="s">
        <v>34</v>
      </c>
      <c r="B6" s="72" t="s">
        <v>1400</v>
      </c>
      <c r="C6" s="74">
        <v>2017</v>
      </c>
      <c r="D6" s="81">
        <v>78.22</v>
      </c>
      <c r="E6" s="72" t="s">
        <v>1821</v>
      </c>
      <c r="F6" s="76" t="s">
        <v>1822</v>
      </c>
      <c r="G6" s="72" t="s">
        <v>1253</v>
      </c>
      <c r="H6" s="72" t="s">
        <v>18</v>
      </c>
      <c r="I6" s="72"/>
      <c r="J6" s="77"/>
      <c r="K6" s="77"/>
      <c r="L6" s="77"/>
      <c r="M6" s="78" t="s">
        <v>1824</v>
      </c>
      <c r="N6" s="78" t="s">
        <v>1825</v>
      </c>
      <c r="O6" s="78"/>
      <c r="P6" s="80">
        <v>78.22</v>
      </c>
    </row>
    <row r="7" spans="1:16" ht="15" x14ac:dyDescent="0.25">
      <c r="A7" s="72" t="s">
        <v>38</v>
      </c>
      <c r="B7" s="72" t="s">
        <v>1397</v>
      </c>
      <c r="C7" s="74">
        <v>2017</v>
      </c>
      <c r="D7" s="81">
        <v>52.35</v>
      </c>
      <c r="E7" s="72" t="s">
        <v>1821</v>
      </c>
      <c r="F7" s="76" t="s">
        <v>1822</v>
      </c>
      <c r="G7" s="72" t="s">
        <v>1253</v>
      </c>
      <c r="H7" s="72" t="s">
        <v>18</v>
      </c>
      <c r="I7" s="72"/>
      <c r="J7" s="77"/>
      <c r="K7" s="77"/>
      <c r="L7" s="77"/>
      <c r="M7" s="78" t="s">
        <v>1824</v>
      </c>
      <c r="N7" s="78" t="s">
        <v>1825</v>
      </c>
      <c r="O7" s="78"/>
      <c r="P7" s="80">
        <v>52.35</v>
      </c>
    </row>
    <row r="8" spans="1:16" ht="15" x14ac:dyDescent="0.25">
      <c r="A8" s="72" t="s">
        <v>42</v>
      </c>
      <c r="B8" s="72" t="s">
        <v>1829</v>
      </c>
      <c r="C8" s="74">
        <v>2017</v>
      </c>
      <c r="D8" s="81">
        <v>56.07</v>
      </c>
      <c r="E8" s="72" t="s">
        <v>1821</v>
      </c>
      <c r="F8" s="76" t="s">
        <v>1822</v>
      </c>
      <c r="G8" s="72" t="s">
        <v>1253</v>
      </c>
      <c r="H8" s="72" t="s">
        <v>18</v>
      </c>
      <c r="I8" s="72"/>
      <c r="J8" s="77"/>
      <c r="K8" s="77"/>
      <c r="L8" s="77"/>
      <c r="M8" s="78" t="s">
        <v>1824</v>
      </c>
      <c r="N8" s="78" t="s">
        <v>1825</v>
      </c>
      <c r="O8" s="78"/>
      <c r="P8" s="80">
        <v>56.07</v>
      </c>
    </row>
    <row r="9" spans="1:16" ht="15" x14ac:dyDescent="0.25">
      <c r="A9" s="72" t="s">
        <v>20</v>
      </c>
      <c r="B9" s="72" t="s">
        <v>1830</v>
      </c>
      <c r="C9" s="74">
        <v>2017</v>
      </c>
      <c r="D9" s="81">
        <v>83.01</v>
      </c>
      <c r="E9" s="72" t="s">
        <v>1821</v>
      </c>
      <c r="F9" s="76" t="s">
        <v>1822</v>
      </c>
      <c r="G9" s="72" t="s">
        <v>1255</v>
      </c>
      <c r="H9" s="72" t="s">
        <v>18</v>
      </c>
      <c r="I9" s="72"/>
      <c r="J9" s="77"/>
      <c r="K9" s="77"/>
      <c r="L9" s="77"/>
      <c r="M9" s="78" t="s">
        <v>1824</v>
      </c>
      <c r="N9" s="78" t="s">
        <v>1825</v>
      </c>
      <c r="O9" s="78"/>
      <c r="P9" s="80">
        <v>83.01</v>
      </c>
    </row>
    <row r="10" spans="1:16" ht="15" x14ac:dyDescent="0.25">
      <c r="A10" s="72" t="s">
        <v>548</v>
      </c>
      <c r="B10" s="72" t="s">
        <v>1419</v>
      </c>
      <c r="C10" s="74">
        <v>2017</v>
      </c>
      <c r="D10" s="81">
        <v>48.4</v>
      </c>
      <c r="E10" s="72" t="s">
        <v>1831</v>
      </c>
      <c r="F10" s="76" t="s">
        <v>1832</v>
      </c>
      <c r="G10" s="72" t="s">
        <v>1165</v>
      </c>
      <c r="H10" s="72" t="s">
        <v>18</v>
      </c>
      <c r="I10" s="72"/>
      <c r="J10" s="77"/>
      <c r="K10" s="77"/>
      <c r="L10" s="77"/>
      <c r="M10" s="78" t="s">
        <v>1824</v>
      </c>
      <c r="N10" s="78" t="s">
        <v>1825</v>
      </c>
      <c r="O10" s="78"/>
      <c r="P10" s="80">
        <v>48.4</v>
      </c>
    </row>
    <row r="11" spans="1:16" ht="15" x14ac:dyDescent="0.25">
      <c r="A11" s="72" t="s">
        <v>46</v>
      </c>
      <c r="B11" s="72" t="s">
        <v>1401</v>
      </c>
      <c r="C11" s="74">
        <v>2017</v>
      </c>
      <c r="D11" s="81">
        <v>52.35</v>
      </c>
      <c r="E11" s="72" t="s">
        <v>1821</v>
      </c>
      <c r="F11" s="76" t="s">
        <v>1822</v>
      </c>
      <c r="G11" s="72" t="s">
        <v>1253</v>
      </c>
      <c r="H11" s="72" t="s">
        <v>18</v>
      </c>
      <c r="I11" s="72"/>
      <c r="J11" s="77"/>
      <c r="K11" s="77"/>
      <c r="L11" s="77"/>
      <c r="M11" s="78" t="s">
        <v>1824</v>
      </c>
      <c r="N11" s="78" t="s">
        <v>1825</v>
      </c>
      <c r="O11" s="78"/>
      <c r="P11" s="80">
        <v>52.35</v>
      </c>
    </row>
    <row r="12" spans="1:16" ht="15" x14ac:dyDescent="0.25">
      <c r="A12" s="72" t="s">
        <v>40</v>
      </c>
      <c r="B12" s="72" t="s">
        <v>1402</v>
      </c>
      <c r="C12" s="74">
        <v>2017</v>
      </c>
      <c r="D12" s="81">
        <v>52.35</v>
      </c>
      <c r="E12" s="72" t="s">
        <v>1821</v>
      </c>
      <c r="F12" s="76" t="s">
        <v>1822</v>
      </c>
      <c r="G12" s="72" t="s">
        <v>1253</v>
      </c>
      <c r="H12" s="72" t="s">
        <v>18</v>
      </c>
      <c r="I12" s="72"/>
      <c r="J12" s="77"/>
      <c r="K12" s="77"/>
      <c r="L12" s="77"/>
      <c r="M12" s="78" t="s">
        <v>1824</v>
      </c>
      <c r="N12" s="78" t="s">
        <v>1825</v>
      </c>
      <c r="O12" s="78"/>
      <c r="P12" s="80">
        <v>52.35</v>
      </c>
    </row>
    <row r="13" spans="1:16" ht="15" x14ac:dyDescent="0.25">
      <c r="A13" s="72" t="s">
        <v>36</v>
      </c>
      <c r="B13" s="72" t="s">
        <v>1833</v>
      </c>
      <c r="C13" s="74">
        <v>2017</v>
      </c>
      <c r="D13" s="81">
        <v>60.44</v>
      </c>
      <c r="E13" s="72" t="s">
        <v>1821</v>
      </c>
      <c r="F13" s="76" t="s">
        <v>1822</v>
      </c>
      <c r="G13" s="72" t="s">
        <v>1834</v>
      </c>
      <c r="H13" s="72" t="s">
        <v>18</v>
      </c>
      <c r="I13" s="72"/>
      <c r="J13" s="77"/>
      <c r="K13" s="77"/>
      <c r="L13" s="77"/>
      <c r="M13" s="78" t="s">
        <v>1824</v>
      </c>
      <c r="N13" s="78" t="s">
        <v>1825</v>
      </c>
      <c r="O13" s="78"/>
      <c r="P13" s="80">
        <v>60.44</v>
      </c>
    </row>
    <row r="14" spans="1:16" ht="15" x14ac:dyDescent="0.25">
      <c r="A14" s="72" t="s">
        <v>22</v>
      </c>
      <c r="B14" s="72" t="s">
        <v>1411</v>
      </c>
      <c r="C14" s="74">
        <v>2017</v>
      </c>
      <c r="D14" s="81">
        <v>91.9</v>
      </c>
      <c r="E14" s="72" t="s">
        <v>1821</v>
      </c>
      <c r="F14" s="76" t="s">
        <v>1822</v>
      </c>
      <c r="G14" s="72" t="s">
        <v>1834</v>
      </c>
      <c r="H14" s="72" t="s">
        <v>18</v>
      </c>
      <c r="I14" s="72"/>
      <c r="J14" s="77"/>
      <c r="K14" s="77"/>
      <c r="L14" s="77"/>
      <c r="M14" s="78" t="s">
        <v>1824</v>
      </c>
      <c r="N14" s="78" t="s">
        <v>1825</v>
      </c>
      <c r="O14" s="78"/>
      <c r="P14" s="80">
        <v>91.9</v>
      </c>
    </row>
    <row r="15" spans="1:16" ht="15" x14ac:dyDescent="0.25">
      <c r="A15" s="72" t="s">
        <v>32</v>
      </c>
      <c r="B15" s="72" t="s">
        <v>1835</v>
      </c>
      <c r="C15" s="74">
        <v>2017</v>
      </c>
      <c r="D15" s="81">
        <v>98.12</v>
      </c>
      <c r="E15" s="72" t="s">
        <v>1821</v>
      </c>
      <c r="F15" s="76" t="s">
        <v>1822</v>
      </c>
      <c r="G15" s="72" t="s">
        <v>1834</v>
      </c>
      <c r="H15" s="72" t="s">
        <v>18</v>
      </c>
      <c r="I15" s="72"/>
      <c r="J15" s="77"/>
      <c r="K15" s="77"/>
      <c r="L15" s="77"/>
      <c r="M15" s="78" t="s">
        <v>1824</v>
      </c>
      <c r="N15" s="78" t="s">
        <v>1825</v>
      </c>
      <c r="O15" s="78"/>
      <c r="P15" s="80">
        <v>98.12</v>
      </c>
    </row>
    <row r="16" spans="1:16" ht="15" x14ac:dyDescent="0.25">
      <c r="A16" s="72" t="s">
        <v>528</v>
      </c>
      <c r="B16" s="72" t="s">
        <v>1420</v>
      </c>
      <c r="C16" s="74">
        <v>2017</v>
      </c>
      <c r="D16" s="81">
        <v>90.45</v>
      </c>
      <c r="E16" s="72" t="s">
        <v>1831</v>
      </c>
      <c r="F16" s="76" t="s">
        <v>1832</v>
      </c>
      <c r="G16" s="72" t="s">
        <v>1165</v>
      </c>
      <c r="H16" s="72" t="s">
        <v>18</v>
      </c>
      <c r="I16" s="72"/>
      <c r="J16" s="77"/>
      <c r="K16" s="77"/>
      <c r="L16" s="77"/>
      <c r="M16" s="78" t="s">
        <v>1824</v>
      </c>
      <c r="N16" s="78" t="s">
        <v>1825</v>
      </c>
      <c r="O16" s="78"/>
      <c r="P16" s="80">
        <v>90.45</v>
      </c>
    </row>
    <row r="17" spans="1:16" ht="15" x14ac:dyDescent="0.25">
      <c r="A17" s="72" t="s">
        <v>24</v>
      </c>
      <c r="B17" s="72" t="s">
        <v>1408</v>
      </c>
      <c r="C17" s="74">
        <v>2017</v>
      </c>
      <c r="D17" s="81">
        <v>56.43</v>
      </c>
      <c r="E17" s="72" t="s">
        <v>1821</v>
      </c>
      <c r="F17" s="76" t="s">
        <v>1822</v>
      </c>
      <c r="G17" s="72" t="s">
        <v>1834</v>
      </c>
      <c r="H17" s="72" t="s">
        <v>18</v>
      </c>
      <c r="I17" s="72"/>
      <c r="J17" s="77"/>
      <c r="K17" s="77"/>
      <c r="L17" s="77"/>
      <c r="M17" s="78" t="s">
        <v>1824</v>
      </c>
      <c r="N17" s="78" t="s">
        <v>1825</v>
      </c>
      <c r="O17" s="78"/>
      <c r="P17" s="80">
        <v>56.43</v>
      </c>
    </row>
    <row r="18" spans="1:16" ht="15" x14ac:dyDescent="0.25">
      <c r="A18" s="72" t="s">
        <v>504</v>
      </c>
      <c r="B18" s="72" t="s">
        <v>1836</v>
      </c>
      <c r="C18" s="74">
        <v>2017</v>
      </c>
      <c r="D18" s="81">
        <v>102.21</v>
      </c>
      <c r="E18" s="72" t="s">
        <v>1821</v>
      </c>
      <c r="F18" s="76" t="s">
        <v>1822</v>
      </c>
      <c r="G18" s="72" t="s">
        <v>1834</v>
      </c>
      <c r="H18" s="72" t="s">
        <v>18</v>
      </c>
      <c r="I18" s="72"/>
      <c r="J18" s="77"/>
      <c r="K18" s="77"/>
      <c r="L18" s="77"/>
      <c r="M18" s="78" t="s">
        <v>1824</v>
      </c>
      <c r="N18" s="78" t="s">
        <v>1825</v>
      </c>
      <c r="O18" s="78"/>
      <c r="P18" s="80">
        <v>102.21</v>
      </c>
    </row>
    <row r="19" spans="1:16" ht="15" x14ac:dyDescent="0.25">
      <c r="A19" s="72" t="s">
        <v>486</v>
      </c>
      <c r="B19" s="72" t="s">
        <v>1414</v>
      </c>
      <c r="C19" s="74">
        <v>2017</v>
      </c>
      <c r="D19" s="81">
        <v>125.64</v>
      </c>
      <c r="E19" s="72" t="s">
        <v>1821</v>
      </c>
      <c r="F19" s="76" t="s">
        <v>1822</v>
      </c>
      <c r="G19" s="72" t="s">
        <v>1834</v>
      </c>
      <c r="H19" s="72" t="s">
        <v>18</v>
      </c>
      <c r="I19" s="72"/>
      <c r="J19" s="77"/>
      <c r="K19" s="77"/>
      <c r="L19" s="77"/>
      <c r="M19" s="78" t="s">
        <v>1824</v>
      </c>
      <c r="N19" s="78" t="s">
        <v>1825</v>
      </c>
      <c r="O19" s="78"/>
      <c r="P19" s="80">
        <v>125.64</v>
      </c>
    </row>
    <row r="20" spans="1:16" ht="15" x14ac:dyDescent="0.25">
      <c r="A20" s="72" t="s">
        <v>522</v>
      </c>
      <c r="B20" s="72" t="s">
        <v>1837</v>
      </c>
      <c r="C20" s="74">
        <v>2017</v>
      </c>
      <c r="D20" s="81">
        <v>85.36</v>
      </c>
      <c r="E20" s="72" t="s">
        <v>1821</v>
      </c>
      <c r="F20" s="76" t="s">
        <v>1822</v>
      </c>
      <c r="G20" s="72" t="s">
        <v>1834</v>
      </c>
      <c r="H20" s="72" t="s">
        <v>18</v>
      </c>
      <c r="I20" s="72"/>
      <c r="J20" s="77"/>
      <c r="K20" s="77"/>
      <c r="L20" s="77"/>
      <c r="M20" s="78" t="s">
        <v>1824</v>
      </c>
      <c r="N20" s="78" t="s">
        <v>1825</v>
      </c>
      <c r="O20" s="78"/>
      <c r="P20" s="80">
        <v>85.36</v>
      </c>
    </row>
    <row r="21" spans="1:16" ht="15" x14ac:dyDescent="0.25">
      <c r="A21" s="72" t="s">
        <v>562</v>
      </c>
      <c r="B21" s="72" t="s">
        <v>1416</v>
      </c>
      <c r="C21" s="74">
        <v>2017</v>
      </c>
      <c r="D21" s="81">
        <v>108.8</v>
      </c>
      <c r="E21" s="72" t="s">
        <v>1821</v>
      </c>
      <c r="F21" s="76" t="s">
        <v>1822</v>
      </c>
      <c r="G21" s="72" t="s">
        <v>1834</v>
      </c>
      <c r="H21" s="72" t="s">
        <v>18</v>
      </c>
      <c r="I21" s="72"/>
      <c r="J21" s="77"/>
      <c r="K21" s="77"/>
      <c r="L21" s="77"/>
      <c r="M21" s="78" t="s">
        <v>1824</v>
      </c>
      <c r="N21" s="78" t="s">
        <v>1825</v>
      </c>
      <c r="O21" s="78"/>
      <c r="P21" s="80">
        <v>108.8</v>
      </c>
    </row>
    <row r="22" spans="1:16" ht="15" x14ac:dyDescent="0.25">
      <c r="A22" s="72" t="s">
        <v>30</v>
      </c>
      <c r="B22" s="72" t="s">
        <v>1838</v>
      </c>
      <c r="C22" s="74">
        <v>2017</v>
      </c>
      <c r="D22" s="81">
        <v>56.43</v>
      </c>
      <c r="E22" s="72" t="s">
        <v>1821</v>
      </c>
      <c r="F22" s="76" t="s">
        <v>1822</v>
      </c>
      <c r="G22" s="72" t="s">
        <v>1834</v>
      </c>
      <c r="H22" s="72" t="s">
        <v>18</v>
      </c>
      <c r="I22" s="72"/>
      <c r="J22" s="77"/>
      <c r="K22" s="77"/>
      <c r="L22" s="77"/>
      <c r="M22" s="78" t="s">
        <v>1824</v>
      </c>
      <c r="N22" s="78" t="s">
        <v>1825</v>
      </c>
      <c r="O22" s="78"/>
      <c r="P22" s="80">
        <v>56.43</v>
      </c>
    </row>
    <row r="23" spans="1:16" ht="15" x14ac:dyDescent="0.25">
      <c r="A23" s="72" t="s">
        <v>425</v>
      </c>
      <c r="B23" s="72" t="s">
        <v>1839</v>
      </c>
      <c r="C23" s="74">
        <v>2017</v>
      </c>
      <c r="D23" s="81">
        <v>27.53</v>
      </c>
      <c r="E23" s="72" t="s">
        <v>1840</v>
      </c>
      <c r="F23" s="76" t="s">
        <v>1841</v>
      </c>
      <c r="G23" s="72" t="s">
        <v>1295</v>
      </c>
      <c r="H23" s="72" t="s">
        <v>18</v>
      </c>
      <c r="I23" s="72"/>
      <c r="J23" s="77"/>
      <c r="K23" s="77"/>
      <c r="L23" s="77"/>
      <c r="M23" s="78" t="s">
        <v>1824</v>
      </c>
      <c r="N23" s="78" t="s">
        <v>1825</v>
      </c>
      <c r="O23" s="78"/>
      <c r="P23" s="80">
        <v>27.53</v>
      </c>
    </row>
    <row r="24" spans="1:16" ht="15" x14ac:dyDescent="0.25">
      <c r="A24" s="72" t="s">
        <v>395</v>
      </c>
      <c r="B24" s="72" t="s">
        <v>1842</v>
      </c>
      <c r="C24" s="74">
        <v>2017</v>
      </c>
      <c r="D24" s="81">
        <v>119.13</v>
      </c>
      <c r="E24" s="72" t="s">
        <v>1821</v>
      </c>
      <c r="F24" s="76" t="s">
        <v>1822</v>
      </c>
      <c r="G24" s="72" t="s">
        <v>1295</v>
      </c>
      <c r="H24" s="72" t="s">
        <v>18</v>
      </c>
      <c r="I24" s="72"/>
      <c r="J24" s="77"/>
      <c r="K24" s="77"/>
      <c r="L24" s="77"/>
      <c r="M24" s="78" t="s">
        <v>1824</v>
      </c>
      <c r="N24" s="78" t="s">
        <v>1825</v>
      </c>
      <c r="O24" s="78"/>
      <c r="P24" s="80">
        <v>119.13</v>
      </c>
    </row>
    <row r="25" spans="1:16" ht="15" x14ac:dyDescent="0.25">
      <c r="A25" s="72" t="s">
        <v>419</v>
      </c>
      <c r="B25" s="72" t="s">
        <v>1843</v>
      </c>
      <c r="C25" s="74">
        <v>2017</v>
      </c>
      <c r="D25" s="81">
        <v>119.13</v>
      </c>
      <c r="E25" s="72" t="s">
        <v>1821</v>
      </c>
      <c r="F25" s="76" t="s">
        <v>1822</v>
      </c>
      <c r="G25" s="72" t="s">
        <v>1295</v>
      </c>
      <c r="H25" s="72" t="s">
        <v>18</v>
      </c>
      <c r="I25" s="72"/>
      <c r="J25" s="77"/>
      <c r="K25" s="77"/>
      <c r="L25" s="77"/>
      <c r="M25" s="78" t="s">
        <v>1824</v>
      </c>
      <c r="N25" s="78" t="s">
        <v>1825</v>
      </c>
      <c r="O25" s="78"/>
      <c r="P25" s="80">
        <v>119.13</v>
      </c>
    </row>
    <row r="26" spans="1:16" x14ac:dyDescent="0.3">
      <c r="A26" s="72" t="s">
        <v>411</v>
      </c>
      <c r="B26" s="72" t="s">
        <v>1844</v>
      </c>
      <c r="C26" s="74">
        <v>2017</v>
      </c>
      <c r="D26" s="81">
        <v>119.13</v>
      </c>
      <c r="E26" s="72" t="s">
        <v>1821</v>
      </c>
      <c r="F26" s="76" t="s">
        <v>1822</v>
      </c>
      <c r="G26" s="72" t="s">
        <v>1295</v>
      </c>
      <c r="H26" s="72" t="s">
        <v>18</v>
      </c>
      <c r="I26" s="72"/>
      <c r="J26" s="77"/>
      <c r="K26" s="77"/>
      <c r="L26" s="77"/>
      <c r="M26" s="78" t="s">
        <v>1824</v>
      </c>
      <c r="N26" s="78" t="s">
        <v>1825</v>
      </c>
      <c r="O26" s="78"/>
      <c r="P26" s="80">
        <v>119.13</v>
      </c>
    </row>
    <row r="27" spans="1:16" x14ac:dyDescent="0.3">
      <c r="A27" s="72" t="s">
        <v>403</v>
      </c>
      <c r="B27" s="72" t="s">
        <v>1381</v>
      </c>
      <c r="C27" s="74">
        <v>2017</v>
      </c>
      <c r="D27" s="81">
        <v>119.13</v>
      </c>
      <c r="E27" s="72" t="s">
        <v>1821</v>
      </c>
      <c r="F27" s="76" t="s">
        <v>1822</v>
      </c>
      <c r="G27" s="72" t="s">
        <v>1295</v>
      </c>
      <c r="H27" s="72" t="s">
        <v>18</v>
      </c>
      <c r="I27" s="72"/>
      <c r="J27" s="77"/>
      <c r="K27" s="77"/>
      <c r="L27" s="77"/>
      <c r="M27" s="78" t="s">
        <v>1824</v>
      </c>
      <c r="N27" s="78" t="s">
        <v>1825</v>
      </c>
      <c r="O27" s="78"/>
      <c r="P27" s="80">
        <v>119.13</v>
      </c>
    </row>
    <row r="28" spans="1:16" x14ac:dyDescent="0.3">
      <c r="A28" s="72" t="s">
        <v>437</v>
      </c>
      <c r="B28" s="72" t="s">
        <v>1382</v>
      </c>
      <c r="C28" s="74">
        <v>2017</v>
      </c>
      <c r="D28" s="81">
        <v>63.32</v>
      </c>
      <c r="E28" s="72" t="s">
        <v>1821</v>
      </c>
      <c r="F28" s="76" t="s">
        <v>1822</v>
      </c>
      <c r="G28" s="72" t="s">
        <v>1295</v>
      </c>
      <c r="H28" s="72" t="s">
        <v>18</v>
      </c>
      <c r="I28" s="72"/>
      <c r="J28" s="77"/>
      <c r="K28" s="77"/>
      <c r="L28" s="77"/>
      <c r="M28" s="78" t="s">
        <v>1824</v>
      </c>
      <c r="N28" s="78" t="s">
        <v>1825</v>
      </c>
      <c r="O28" s="78"/>
      <c r="P28" s="80">
        <v>63.32</v>
      </c>
    </row>
    <row r="29" spans="1:16" x14ac:dyDescent="0.3">
      <c r="A29" s="72" t="s">
        <v>397</v>
      </c>
      <c r="B29" s="72" t="s">
        <v>1383</v>
      </c>
      <c r="C29" s="74">
        <v>2017</v>
      </c>
      <c r="D29" s="81">
        <v>124.15</v>
      </c>
      <c r="E29" s="72" t="s">
        <v>1821</v>
      </c>
      <c r="F29" s="76" t="s">
        <v>1822</v>
      </c>
      <c r="G29" s="72" t="s">
        <v>1295</v>
      </c>
      <c r="H29" s="72" t="s">
        <v>18</v>
      </c>
      <c r="I29" s="72"/>
      <c r="J29" s="77"/>
      <c r="K29" s="77"/>
      <c r="L29" s="77"/>
      <c r="M29" s="78" t="s">
        <v>1824</v>
      </c>
      <c r="N29" s="78" t="s">
        <v>1825</v>
      </c>
      <c r="O29" s="78"/>
      <c r="P29" s="80">
        <v>124.15</v>
      </c>
    </row>
    <row r="30" spans="1:16" x14ac:dyDescent="0.3">
      <c r="A30" s="72" t="s">
        <v>421</v>
      </c>
      <c r="B30" s="72" t="s">
        <v>1388</v>
      </c>
      <c r="C30" s="74">
        <v>2017</v>
      </c>
      <c r="D30" s="81">
        <v>135.12</v>
      </c>
      <c r="E30" s="72" t="s">
        <v>1821</v>
      </c>
      <c r="F30" s="76" t="s">
        <v>1822</v>
      </c>
      <c r="G30" s="72" t="s">
        <v>1295</v>
      </c>
      <c r="H30" s="72" t="s">
        <v>18</v>
      </c>
      <c r="I30" s="72"/>
      <c r="J30" s="77"/>
      <c r="K30" s="77"/>
      <c r="L30" s="77"/>
      <c r="M30" s="78" t="s">
        <v>1824</v>
      </c>
      <c r="N30" s="78" t="s">
        <v>1825</v>
      </c>
      <c r="O30" s="78"/>
      <c r="P30" s="80">
        <v>135.12</v>
      </c>
    </row>
    <row r="31" spans="1:16" x14ac:dyDescent="0.3">
      <c r="A31" s="72" t="s">
        <v>423</v>
      </c>
      <c r="B31" s="72" t="s">
        <v>1389</v>
      </c>
      <c r="C31" s="74">
        <v>2017</v>
      </c>
      <c r="D31" s="81">
        <v>119.88</v>
      </c>
      <c r="E31" s="72" t="s">
        <v>1821</v>
      </c>
      <c r="F31" s="76" t="s">
        <v>1822</v>
      </c>
      <c r="G31" s="72" t="s">
        <v>1295</v>
      </c>
      <c r="H31" s="72" t="s">
        <v>18</v>
      </c>
      <c r="I31" s="72"/>
      <c r="J31" s="77"/>
      <c r="K31" s="77"/>
      <c r="L31" s="77"/>
      <c r="M31" s="78" t="s">
        <v>1824</v>
      </c>
      <c r="N31" s="78" t="s">
        <v>1825</v>
      </c>
      <c r="O31" s="78"/>
      <c r="P31" s="80">
        <v>119.88</v>
      </c>
    </row>
    <row r="32" spans="1:16" x14ac:dyDescent="0.3">
      <c r="A32" s="72" t="s">
        <v>431</v>
      </c>
      <c r="B32" s="72" t="s">
        <v>1384</v>
      </c>
      <c r="C32" s="74">
        <v>2017</v>
      </c>
      <c r="D32" s="81">
        <v>107.91</v>
      </c>
      <c r="E32" s="72" t="s">
        <v>1821</v>
      </c>
      <c r="F32" s="76" t="s">
        <v>1822</v>
      </c>
      <c r="G32" s="72" t="s">
        <v>1295</v>
      </c>
      <c r="H32" s="72" t="s">
        <v>18</v>
      </c>
      <c r="I32" s="72"/>
      <c r="J32" s="77"/>
      <c r="K32" s="77"/>
      <c r="L32" s="77"/>
      <c r="M32" s="78" t="s">
        <v>1824</v>
      </c>
      <c r="N32" s="78" t="s">
        <v>1825</v>
      </c>
      <c r="O32" s="78"/>
      <c r="P32" s="80">
        <v>107.91</v>
      </c>
    </row>
    <row r="33" spans="1:16" x14ac:dyDescent="0.3">
      <c r="A33" s="72" t="s">
        <v>1733</v>
      </c>
      <c r="B33" s="72" t="s">
        <v>1845</v>
      </c>
      <c r="C33" s="74">
        <v>2017</v>
      </c>
      <c r="D33" s="81">
        <v>119.13</v>
      </c>
      <c r="E33" s="72" t="s">
        <v>1821</v>
      </c>
      <c r="F33" s="76" t="s">
        <v>1822</v>
      </c>
      <c r="G33" s="72" t="s">
        <v>1295</v>
      </c>
      <c r="H33" s="72" t="s">
        <v>18</v>
      </c>
      <c r="I33" s="72"/>
      <c r="J33" s="77"/>
      <c r="K33" s="77"/>
      <c r="L33" s="77"/>
      <c r="M33" s="78" t="s">
        <v>1824</v>
      </c>
      <c r="N33" s="78" t="s">
        <v>1825</v>
      </c>
      <c r="O33" s="82"/>
      <c r="P33" s="80">
        <v>119.13</v>
      </c>
    </row>
    <row r="34" spans="1:16" x14ac:dyDescent="0.3">
      <c r="A34" s="72" t="s">
        <v>1734</v>
      </c>
      <c r="B34" s="72" t="s">
        <v>1846</v>
      </c>
      <c r="C34" s="74">
        <v>2017</v>
      </c>
      <c r="D34" s="81">
        <v>119.13</v>
      </c>
      <c r="E34" s="72" t="s">
        <v>1821</v>
      </c>
      <c r="F34" s="76" t="s">
        <v>1822</v>
      </c>
      <c r="G34" s="72" t="s">
        <v>1295</v>
      </c>
      <c r="H34" s="72" t="s">
        <v>18</v>
      </c>
      <c r="I34" s="72"/>
      <c r="J34" s="77"/>
      <c r="K34" s="77"/>
      <c r="L34" s="77"/>
      <c r="M34" s="78" t="s">
        <v>1824</v>
      </c>
      <c r="N34" s="78" t="s">
        <v>1825</v>
      </c>
      <c r="O34" s="82"/>
      <c r="P34" s="80">
        <v>119.13</v>
      </c>
    </row>
    <row r="35" spans="1:16" x14ac:dyDescent="0.3">
      <c r="A35" s="72" t="s">
        <v>1847</v>
      </c>
      <c r="B35" s="72" t="s">
        <v>1848</v>
      </c>
      <c r="C35" s="74">
        <v>2017</v>
      </c>
      <c r="D35" s="81">
        <v>22.89</v>
      </c>
      <c r="E35" s="72" t="s">
        <v>1821</v>
      </c>
      <c r="F35" s="76" t="s">
        <v>1822</v>
      </c>
      <c r="G35" s="72" t="s">
        <v>1295</v>
      </c>
      <c r="H35" s="72" t="s">
        <v>18</v>
      </c>
      <c r="I35" s="72"/>
      <c r="J35" s="77"/>
      <c r="K35" s="77"/>
      <c r="L35" s="77"/>
      <c r="M35" s="78" t="s">
        <v>1824</v>
      </c>
      <c r="N35" s="78" t="s">
        <v>1825</v>
      </c>
      <c r="O35" s="82"/>
      <c r="P35" s="80">
        <v>22.89</v>
      </c>
    </row>
    <row r="36" spans="1:16" x14ac:dyDescent="0.3">
      <c r="A36" s="72" t="s">
        <v>7</v>
      </c>
      <c r="B36" s="72" t="s">
        <v>1849</v>
      </c>
      <c r="C36" s="74">
        <v>2017</v>
      </c>
      <c r="D36" s="81">
        <v>36.85</v>
      </c>
      <c r="E36" s="72" t="s">
        <v>1831</v>
      </c>
      <c r="F36" s="76" t="s">
        <v>1832</v>
      </c>
      <c r="G36" s="72" t="s">
        <v>1165</v>
      </c>
      <c r="H36" s="72" t="s">
        <v>18</v>
      </c>
      <c r="I36" s="72"/>
      <c r="J36" s="77"/>
      <c r="K36" s="77"/>
      <c r="L36" s="77"/>
      <c r="M36" s="78" t="s">
        <v>1824</v>
      </c>
      <c r="N36" s="78" t="s">
        <v>1825</v>
      </c>
      <c r="O36" s="78"/>
      <c r="P36" s="80">
        <v>36.85</v>
      </c>
    </row>
    <row r="37" spans="1:16" x14ac:dyDescent="0.3">
      <c r="A37" s="72" t="s">
        <v>490</v>
      </c>
      <c r="B37" s="72" t="s">
        <v>1850</v>
      </c>
      <c r="C37" s="74">
        <v>2017</v>
      </c>
      <c r="D37" s="81">
        <v>68.209999999999994</v>
      </c>
      <c r="E37" s="72" t="s">
        <v>1831</v>
      </c>
      <c r="F37" s="76" t="s">
        <v>1832</v>
      </c>
      <c r="G37" s="72" t="s">
        <v>1165</v>
      </c>
      <c r="H37" s="72" t="s">
        <v>18</v>
      </c>
      <c r="I37" s="72"/>
      <c r="J37" s="77"/>
      <c r="K37" s="77"/>
      <c r="L37" s="77"/>
      <c r="M37" s="78" t="s">
        <v>1824</v>
      </c>
      <c r="N37" s="78" t="s">
        <v>1825</v>
      </c>
      <c r="O37" s="78"/>
      <c r="P37" s="80">
        <v>68.209999999999994</v>
      </c>
    </row>
    <row r="38" spans="1:16" x14ac:dyDescent="0.3">
      <c r="A38" s="72" t="s">
        <v>520</v>
      </c>
      <c r="B38" s="72" t="s">
        <v>1851</v>
      </c>
      <c r="C38" s="74">
        <v>2017</v>
      </c>
      <c r="D38" s="81">
        <v>68.209999999999994</v>
      </c>
      <c r="E38" s="72" t="s">
        <v>1831</v>
      </c>
      <c r="F38" s="76" t="s">
        <v>1832</v>
      </c>
      <c r="G38" s="72" t="s">
        <v>1165</v>
      </c>
      <c r="H38" s="72" t="s">
        <v>18</v>
      </c>
      <c r="I38" s="72"/>
      <c r="J38" s="77"/>
      <c r="K38" s="77"/>
      <c r="L38" s="77"/>
      <c r="M38" s="78" t="s">
        <v>1824</v>
      </c>
      <c r="N38" s="78" t="s">
        <v>1825</v>
      </c>
      <c r="O38" s="78"/>
      <c r="P38" s="80">
        <v>68.209999999999994</v>
      </c>
    </row>
    <row r="39" spans="1:16" x14ac:dyDescent="0.3">
      <c r="A39" s="72" t="s">
        <v>427</v>
      </c>
      <c r="B39" s="72" t="s">
        <v>1363</v>
      </c>
      <c r="C39" s="74">
        <v>2017</v>
      </c>
      <c r="D39" s="81">
        <v>68.209999999999994</v>
      </c>
      <c r="E39" s="72" t="s">
        <v>1831</v>
      </c>
      <c r="F39" s="76" t="s">
        <v>1832</v>
      </c>
      <c r="G39" s="72" t="s">
        <v>1852</v>
      </c>
      <c r="H39" s="72" t="s">
        <v>18</v>
      </c>
      <c r="I39" s="72"/>
      <c r="J39" s="77"/>
      <c r="K39" s="77"/>
      <c r="L39" s="77"/>
      <c r="M39" s="78" t="s">
        <v>1824</v>
      </c>
      <c r="N39" s="78" t="s">
        <v>1825</v>
      </c>
      <c r="O39" s="78"/>
      <c r="P39" s="80">
        <v>68.209999999999994</v>
      </c>
    </row>
    <row r="40" spans="1:16" x14ac:dyDescent="0.3">
      <c r="A40" s="72" t="s">
        <v>435</v>
      </c>
      <c r="B40" s="72" t="s">
        <v>1853</v>
      </c>
      <c r="C40" s="74">
        <v>2017</v>
      </c>
      <c r="D40" s="81">
        <v>7.01</v>
      </c>
      <c r="E40" s="72" t="s">
        <v>1854</v>
      </c>
      <c r="F40" s="76" t="s">
        <v>1855</v>
      </c>
      <c r="G40" s="72" t="s">
        <v>1856</v>
      </c>
      <c r="H40" s="72" t="s">
        <v>18</v>
      </c>
      <c r="I40" s="72"/>
      <c r="J40" s="77"/>
      <c r="K40" s="83"/>
      <c r="L40" s="83"/>
      <c r="M40" s="78" t="s">
        <v>1824</v>
      </c>
      <c r="N40" s="78" t="s">
        <v>1825</v>
      </c>
      <c r="O40" s="78"/>
      <c r="P40" s="80">
        <v>7.01</v>
      </c>
    </row>
    <row r="41" spans="1:16" x14ac:dyDescent="0.3">
      <c r="A41" s="72" t="s">
        <v>500</v>
      </c>
      <c r="B41" s="72" t="s">
        <v>1857</v>
      </c>
      <c r="C41" s="74">
        <v>2017</v>
      </c>
      <c r="D41" s="81">
        <v>39.33</v>
      </c>
      <c r="E41" s="72" t="s">
        <v>1831</v>
      </c>
      <c r="F41" s="76" t="s">
        <v>1832</v>
      </c>
      <c r="G41" s="72" t="s">
        <v>1165</v>
      </c>
      <c r="H41" s="72" t="s">
        <v>18</v>
      </c>
      <c r="I41" s="72"/>
      <c r="J41" s="77"/>
      <c r="K41" s="77"/>
      <c r="L41" s="77"/>
      <c r="M41" s="78" t="s">
        <v>1824</v>
      </c>
      <c r="N41" s="78" t="s">
        <v>1825</v>
      </c>
      <c r="O41" s="78"/>
      <c r="P41" s="80">
        <v>39.33</v>
      </c>
    </row>
    <row r="42" spans="1:16" x14ac:dyDescent="0.3">
      <c r="A42" s="72" t="s">
        <v>524</v>
      </c>
      <c r="B42" s="72" t="s">
        <v>1858</v>
      </c>
      <c r="C42" s="74">
        <v>2017</v>
      </c>
      <c r="D42" s="81">
        <v>49.79</v>
      </c>
      <c r="E42" s="72" t="s">
        <v>1831</v>
      </c>
      <c r="F42" s="76" t="s">
        <v>1832</v>
      </c>
      <c r="G42" s="72" t="s">
        <v>1165</v>
      </c>
      <c r="H42" s="72" t="s">
        <v>18</v>
      </c>
      <c r="I42" s="72"/>
      <c r="J42" s="77"/>
      <c r="K42" s="77"/>
      <c r="L42" s="77"/>
      <c r="M42" s="78" t="s">
        <v>1824</v>
      </c>
      <c r="N42" s="78" t="s">
        <v>1825</v>
      </c>
      <c r="O42" s="78"/>
      <c r="P42" s="80">
        <v>49.79</v>
      </c>
    </row>
    <row r="43" spans="1:16" x14ac:dyDescent="0.3">
      <c r="A43" s="72" t="s">
        <v>546</v>
      </c>
      <c r="B43" s="72" t="s">
        <v>1859</v>
      </c>
      <c r="C43" s="74">
        <v>2017</v>
      </c>
      <c r="D43" s="81">
        <v>76.61</v>
      </c>
      <c r="E43" s="72" t="s">
        <v>1831</v>
      </c>
      <c r="F43" s="76" t="s">
        <v>1832</v>
      </c>
      <c r="G43" s="72" t="s">
        <v>1165</v>
      </c>
      <c r="H43" s="72" t="s">
        <v>18</v>
      </c>
      <c r="I43" s="72"/>
      <c r="J43" s="77"/>
      <c r="K43" s="77"/>
      <c r="L43" s="77"/>
      <c r="M43" s="78" t="s">
        <v>1824</v>
      </c>
      <c r="N43" s="78" t="s">
        <v>1825</v>
      </c>
      <c r="O43" s="78"/>
      <c r="P43" s="80">
        <v>76.61</v>
      </c>
    </row>
    <row r="44" spans="1:16" x14ac:dyDescent="0.3">
      <c r="A44" s="72" t="s">
        <v>550</v>
      </c>
      <c r="B44" s="72" t="s">
        <v>1860</v>
      </c>
      <c r="C44" s="74">
        <v>2017</v>
      </c>
      <c r="D44" s="81">
        <v>49.52</v>
      </c>
      <c r="E44" s="72" t="s">
        <v>1831</v>
      </c>
      <c r="F44" s="76" t="s">
        <v>1832</v>
      </c>
      <c r="G44" s="72" t="s">
        <v>1165</v>
      </c>
      <c r="H44" s="72" t="s">
        <v>18</v>
      </c>
      <c r="I44" s="72" t="s">
        <v>1861</v>
      </c>
      <c r="J44" s="81">
        <v>16.190000000000001</v>
      </c>
      <c r="K44" s="77"/>
      <c r="L44" s="77"/>
      <c r="M44" s="78" t="s">
        <v>1824</v>
      </c>
      <c r="N44" s="78" t="s">
        <v>1825</v>
      </c>
      <c r="O44" s="78"/>
      <c r="P44" s="80">
        <v>49.52</v>
      </c>
    </row>
    <row r="45" spans="1:16" x14ac:dyDescent="0.3">
      <c r="A45" s="72" t="s">
        <v>502</v>
      </c>
      <c r="B45" s="72" t="s">
        <v>1862</v>
      </c>
      <c r="C45" s="74">
        <v>2017</v>
      </c>
      <c r="D45" s="81">
        <v>64.739999999999995</v>
      </c>
      <c r="E45" s="72" t="s">
        <v>1831</v>
      </c>
      <c r="F45" s="76" t="s">
        <v>1832</v>
      </c>
      <c r="G45" s="72" t="s">
        <v>1165</v>
      </c>
      <c r="H45" s="72" t="s">
        <v>18</v>
      </c>
      <c r="I45" s="72" t="s">
        <v>1863</v>
      </c>
      <c r="J45" s="81">
        <v>16.190000000000001</v>
      </c>
      <c r="K45" s="77"/>
      <c r="L45" s="77"/>
      <c r="M45" s="78" t="s">
        <v>1824</v>
      </c>
      <c r="N45" s="78" t="s">
        <v>1825</v>
      </c>
      <c r="O45" s="78"/>
      <c r="P45" s="80">
        <v>64.739999999999995</v>
      </c>
    </row>
    <row r="46" spans="1:16" x14ac:dyDescent="0.3">
      <c r="A46" s="72" t="s">
        <v>536</v>
      </c>
      <c r="B46" s="72" t="s">
        <v>1864</v>
      </c>
      <c r="C46" s="74">
        <v>2017</v>
      </c>
      <c r="D46" s="81">
        <v>104.43</v>
      </c>
      <c r="E46" s="72" t="s">
        <v>1831</v>
      </c>
      <c r="F46" s="76" t="s">
        <v>1832</v>
      </c>
      <c r="G46" s="72" t="s">
        <v>1165</v>
      </c>
      <c r="H46" s="72" t="s">
        <v>18</v>
      </c>
      <c r="I46" s="72" t="s">
        <v>1865</v>
      </c>
      <c r="J46" s="81">
        <v>16.190000000000001</v>
      </c>
      <c r="K46" s="77"/>
      <c r="L46" s="77"/>
      <c r="M46" s="78" t="s">
        <v>1824</v>
      </c>
      <c r="N46" s="78" t="s">
        <v>1825</v>
      </c>
      <c r="O46" s="78"/>
      <c r="P46" s="80">
        <v>104.43</v>
      </c>
    </row>
    <row r="47" spans="1:16" x14ac:dyDescent="0.3">
      <c r="A47" s="72" t="s">
        <v>399</v>
      </c>
      <c r="B47" s="72" t="s">
        <v>1365</v>
      </c>
      <c r="C47" s="74">
        <v>2017</v>
      </c>
      <c r="D47" s="81">
        <v>123.37</v>
      </c>
      <c r="E47" s="72" t="s">
        <v>1831</v>
      </c>
      <c r="F47" s="76" t="s">
        <v>1832</v>
      </c>
      <c r="G47" s="72" t="s">
        <v>1852</v>
      </c>
      <c r="H47" s="72" t="s">
        <v>18</v>
      </c>
      <c r="I47" s="72" t="s">
        <v>1866</v>
      </c>
      <c r="J47" s="81">
        <v>16.190000000000001</v>
      </c>
      <c r="K47" s="77"/>
      <c r="L47" s="77"/>
      <c r="M47" s="78" t="s">
        <v>1824</v>
      </c>
      <c r="N47" s="78" t="s">
        <v>1825</v>
      </c>
      <c r="O47" s="78"/>
      <c r="P47" s="80">
        <v>123.37</v>
      </c>
    </row>
    <row r="48" spans="1:16" x14ac:dyDescent="0.3">
      <c r="A48" s="72" t="s">
        <v>556</v>
      </c>
      <c r="B48" s="72" t="s">
        <v>1867</v>
      </c>
      <c r="C48" s="74">
        <v>2017</v>
      </c>
      <c r="D48" s="81">
        <v>104.43</v>
      </c>
      <c r="E48" s="72" t="s">
        <v>1831</v>
      </c>
      <c r="F48" s="76" t="s">
        <v>1832</v>
      </c>
      <c r="G48" s="72" t="s">
        <v>1165</v>
      </c>
      <c r="H48" s="72" t="s">
        <v>18</v>
      </c>
      <c r="I48" s="72" t="s">
        <v>1868</v>
      </c>
      <c r="J48" s="81">
        <v>16.190000000000001</v>
      </c>
      <c r="K48" s="77"/>
      <c r="L48" s="77"/>
      <c r="M48" s="78" t="s">
        <v>1824</v>
      </c>
      <c r="N48" s="78" t="s">
        <v>1825</v>
      </c>
      <c r="O48" s="78"/>
      <c r="P48" s="80">
        <v>104.43</v>
      </c>
    </row>
    <row r="49" spans="1:16" x14ac:dyDescent="0.3">
      <c r="A49" s="72" t="s">
        <v>409</v>
      </c>
      <c r="B49" s="72" t="s">
        <v>1869</v>
      </c>
      <c r="C49" s="74">
        <v>2017</v>
      </c>
      <c r="D49" s="81">
        <v>85.6</v>
      </c>
      <c r="E49" s="72" t="s">
        <v>1831</v>
      </c>
      <c r="F49" s="76" t="s">
        <v>1832</v>
      </c>
      <c r="G49" s="72" t="s">
        <v>1852</v>
      </c>
      <c r="H49" s="72" t="s">
        <v>18</v>
      </c>
      <c r="I49" s="76" t="s">
        <v>1870</v>
      </c>
      <c r="J49" s="81">
        <v>16.190000000000001</v>
      </c>
      <c r="K49" s="77"/>
      <c r="L49" s="77"/>
      <c r="M49" s="78" t="s">
        <v>1824</v>
      </c>
      <c r="N49" s="78" t="s">
        <v>1825</v>
      </c>
      <c r="O49" s="78"/>
      <c r="P49" s="80">
        <v>85.6</v>
      </c>
    </row>
    <row r="50" spans="1:16" x14ac:dyDescent="0.3">
      <c r="A50" s="72" t="s">
        <v>392</v>
      </c>
      <c r="B50" s="72" t="s">
        <v>1367</v>
      </c>
      <c r="C50" s="74">
        <v>2017</v>
      </c>
      <c r="D50" s="81">
        <v>83.19</v>
      </c>
      <c r="E50" s="72" t="s">
        <v>1831</v>
      </c>
      <c r="F50" s="76" t="s">
        <v>1832</v>
      </c>
      <c r="G50" s="72" t="s">
        <v>1852</v>
      </c>
      <c r="H50" s="72" t="s">
        <v>18</v>
      </c>
      <c r="I50" s="72" t="s">
        <v>1871</v>
      </c>
      <c r="J50" s="81">
        <v>16.190000000000001</v>
      </c>
      <c r="K50" s="77"/>
      <c r="L50" s="77"/>
      <c r="M50" s="78" t="s">
        <v>1824</v>
      </c>
      <c r="N50" s="78" t="s">
        <v>1825</v>
      </c>
      <c r="O50" s="78"/>
      <c r="P50" s="80">
        <v>83.19</v>
      </c>
    </row>
    <row r="51" spans="1:16" x14ac:dyDescent="0.3">
      <c r="A51" s="72" t="s">
        <v>390</v>
      </c>
      <c r="B51" s="72" t="s">
        <v>1368</v>
      </c>
      <c r="C51" s="74">
        <v>2017</v>
      </c>
      <c r="D51" s="81">
        <v>123.37</v>
      </c>
      <c r="E51" s="72" t="s">
        <v>1831</v>
      </c>
      <c r="F51" s="76" t="s">
        <v>1832</v>
      </c>
      <c r="G51" s="72" t="s">
        <v>1852</v>
      </c>
      <c r="H51" s="72" t="s">
        <v>18</v>
      </c>
      <c r="I51" s="72" t="s">
        <v>1872</v>
      </c>
      <c r="J51" s="81">
        <v>16.190000000000001</v>
      </c>
      <c r="K51" s="77"/>
      <c r="L51" s="77"/>
      <c r="M51" s="78" t="s">
        <v>1824</v>
      </c>
      <c r="N51" s="78" t="s">
        <v>1825</v>
      </c>
      <c r="O51" s="78"/>
      <c r="P51" s="80">
        <v>123.37</v>
      </c>
    </row>
    <row r="52" spans="1:16" x14ac:dyDescent="0.3">
      <c r="A52" s="72" t="s">
        <v>401</v>
      </c>
      <c r="B52" s="72" t="s">
        <v>1369</v>
      </c>
      <c r="C52" s="74">
        <v>2017</v>
      </c>
      <c r="D52" s="81">
        <v>149.87</v>
      </c>
      <c r="E52" s="72" t="s">
        <v>1831</v>
      </c>
      <c r="F52" s="76" t="s">
        <v>1832</v>
      </c>
      <c r="G52" s="72" t="s">
        <v>1852</v>
      </c>
      <c r="H52" s="72" t="s">
        <v>18</v>
      </c>
      <c r="I52" s="72" t="s">
        <v>1873</v>
      </c>
      <c r="J52" s="81">
        <v>16.190000000000001</v>
      </c>
      <c r="K52" s="77"/>
      <c r="L52" s="77"/>
      <c r="M52" s="78" t="s">
        <v>1824</v>
      </c>
      <c r="N52" s="78" t="s">
        <v>1825</v>
      </c>
      <c r="O52" s="78"/>
      <c r="P52" s="80">
        <v>149.87</v>
      </c>
    </row>
    <row r="53" spans="1:16" x14ac:dyDescent="0.3">
      <c r="A53" s="72" t="s">
        <v>540</v>
      </c>
      <c r="B53" s="72" t="s">
        <v>1874</v>
      </c>
      <c r="C53" s="74">
        <v>2017</v>
      </c>
      <c r="D53" s="81">
        <v>50.22</v>
      </c>
      <c r="E53" s="72" t="s">
        <v>1831</v>
      </c>
      <c r="F53" s="76" t="s">
        <v>1832</v>
      </c>
      <c r="G53" s="72" t="s">
        <v>1165</v>
      </c>
      <c r="H53" s="72" t="s">
        <v>18</v>
      </c>
      <c r="I53" s="72"/>
      <c r="J53" s="77"/>
      <c r="K53" s="77"/>
      <c r="L53" s="77"/>
      <c r="M53" s="78" t="s">
        <v>1824</v>
      </c>
      <c r="N53" s="78" t="s">
        <v>1825</v>
      </c>
      <c r="O53" s="78"/>
      <c r="P53" s="80">
        <v>50.22</v>
      </c>
    </row>
    <row r="54" spans="1:16" x14ac:dyDescent="0.3">
      <c r="A54" s="72" t="s">
        <v>492</v>
      </c>
      <c r="B54" s="72" t="s">
        <v>1875</v>
      </c>
      <c r="C54" s="74">
        <v>2017</v>
      </c>
      <c r="D54" s="81">
        <v>56.81</v>
      </c>
      <c r="E54" s="72" t="s">
        <v>1831</v>
      </c>
      <c r="F54" s="76" t="s">
        <v>1832</v>
      </c>
      <c r="G54" s="72" t="s">
        <v>1165</v>
      </c>
      <c r="H54" s="72" t="s">
        <v>18</v>
      </c>
      <c r="I54" s="72"/>
      <c r="J54" s="77"/>
      <c r="K54" s="77"/>
      <c r="L54" s="77"/>
      <c r="M54" s="78" t="s">
        <v>1824</v>
      </c>
      <c r="N54" s="78" t="s">
        <v>1825</v>
      </c>
      <c r="O54" s="78"/>
      <c r="P54" s="80">
        <v>56.81</v>
      </c>
    </row>
    <row r="55" spans="1:16" x14ac:dyDescent="0.3">
      <c r="A55" s="72" t="s">
        <v>518</v>
      </c>
      <c r="B55" s="72" t="s">
        <v>1876</v>
      </c>
      <c r="C55" s="74">
        <v>2017</v>
      </c>
      <c r="D55" s="81">
        <v>60.85</v>
      </c>
      <c r="E55" s="72" t="s">
        <v>1831</v>
      </c>
      <c r="F55" s="76" t="s">
        <v>1832</v>
      </c>
      <c r="G55" s="72" t="s">
        <v>1165</v>
      </c>
      <c r="H55" s="72" t="s">
        <v>18</v>
      </c>
      <c r="I55" s="72"/>
      <c r="J55" s="77"/>
      <c r="K55" s="77"/>
      <c r="L55" s="77"/>
      <c r="M55" s="78" t="s">
        <v>1824</v>
      </c>
      <c r="N55" s="78" t="s">
        <v>1825</v>
      </c>
      <c r="O55" s="78"/>
      <c r="P55" s="80">
        <v>60.85</v>
      </c>
    </row>
    <row r="56" spans="1:16" x14ac:dyDescent="0.3">
      <c r="A56" s="72" t="s">
        <v>560</v>
      </c>
      <c r="B56" s="72" t="s">
        <v>1877</v>
      </c>
      <c r="C56" s="74">
        <v>2017</v>
      </c>
      <c r="D56" s="81">
        <v>55.54</v>
      </c>
      <c r="E56" s="72" t="s">
        <v>1831</v>
      </c>
      <c r="F56" s="76" t="s">
        <v>1832</v>
      </c>
      <c r="G56" s="72" t="s">
        <v>1165</v>
      </c>
      <c r="H56" s="72" t="s">
        <v>18</v>
      </c>
      <c r="I56" s="72" t="s">
        <v>1878</v>
      </c>
      <c r="J56" s="81">
        <v>16.190000000000001</v>
      </c>
      <c r="K56" s="77"/>
      <c r="L56" s="77"/>
      <c r="M56" s="78" t="s">
        <v>1824</v>
      </c>
      <c r="N56" s="78" t="s">
        <v>1825</v>
      </c>
      <c r="O56" s="78"/>
      <c r="P56" s="80">
        <v>55.54</v>
      </c>
    </row>
    <row r="57" spans="1:16" x14ac:dyDescent="0.3">
      <c r="A57" s="72" t="s">
        <v>510</v>
      </c>
      <c r="B57" s="72" t="s">
        <v>1879</v>
      </c>
      <c r="C57" s="74">
        <v>2017</v>
      </c>
      <c r="D57" s="81">
        <v>66.900000000000006</v>
      </c>
      <c r="E57" s="72" t="s">
        <v>1831</v>
      </c>
      <c r="F57" s="76" t="s">
        <v>1832</v>
      </c>
      <c r="G57" s="72" t="s">
        <v>1165</v>
      </c>
      <c r="H57" s="72" t="s">
        <v>18</v>
      </c>
      <c r="I57" s="72" t="s">
        <v>1880</v>
      </c>
      <c r="J57" s="81">
        <v>16.190000000000001</v>
      </c>
      <c r="K57" s="77"/>
      <c r="L57" s="77"/>
      <c r="M57" s="78" t="s">
        <v>1824</v>
      </c>
      <c r="N57" s="78" t="s">
        <v>1825</v>
      </c>
      <c r="O57" s="78"/>
      <c r="P57" s="80">
        <v>66.900000000000006</v>
      </c>
    </row>
    <row r="58" spans="1:16" x14ac:dyDescent="0.3">
      <c r="A58" s="72" t="s">
        <v>554</v>
      </c>
      <c r="B58" s="72" t="s">
        <v>1881</v>
      </c>
      <c r="C58" s="74">
        <v>2017</v>
      </c>
      <c r="D58" s="81">
        <v>83.82</v>
      </c>
      <c r="E58" s="72" t="s">
        <v>1831</v>
      </c>
      <c r="F58" s="76" t="s">
        <v>1832</v>
      </c>
      <c r="G58" s="72" t="s">
        <v>1165</v>
      </c>
      <c r="H58" s="72" t="s">
        <v>18</v>
      </c>
      <c r="I58" s="72" t="s">
        <v>1882</v>
      </c>
      <c r="J58" s="81">
        <v>16.190000000000001</v>
      </c>
      <c r="K58" s="77"/>
      <c r="L58" s="77"/>
      <c r="M58" s="78" t="s">
        <v>1824</v>
      </c>
      <c r="N58" s="78" t="s">
        <v>1825</v>
      </c>
      <c r="O58" s="78"/>
      <c r="P58" s="80">
        <v>83.82</v>
      </c>
    </row>
    <row r="59" spans="1:16" x14ac:dyDescent="0.3">
      <c r="A59" s="72" t="s">
        <v>405</v>
      </c>
      <c r="B59" s="72" t="s">
        <v>1370</v>
      </c>
      <c r="C59" s="74">
        <v>2017</v>
      </c>
      <c r="D59" s="81">
        <v>73.55</v>
      </c>
      <c r="E59" s="72" t="s">
        <v>1831</v>
      </c>
      <c r="F59" s="76" t="s">
        <v>1832</v>
      </c>
      <c r="G59" s="72" t="s">
        <v>1852</v>
      </c>
      <c r="H59" s="72" t="s">
        <v>18</v>
      </c>
      <c r="I59" s="72"/>
      <c r="J59" s="77"/>
      <c r="K59" s="77"/>
      <c r="L59" s="77"/>
      <c r="M59" s="78" t="s">
        <v>1824</v>
      </c>
      <c r="N59" s="78" t="s">
        <v>1825</v>
      </c>
      <c r="O59" s="78"/>
      <c r="P59" s="80">
        <v>73.55</v>
      </c>
    </row>
    <row r="60" spans="1:16" x14ac:dyDescent="0.3">
      <c r="A60" s="72" t="s">
        <v>417</v>
      </c>
      <c r="B60" s="72" t="s">
        <v>1371</v>
      </c>
      <c r="C60" s="74">
        <v>2017</v>
      </c>
      <c r="D60" s="81">
        <v>80.23</v>
      </c>
      <c r="E60" s="72" t="s">
        <v>1831</v>
      </c>
      <c r="F60" s="76" t="s">
        <v>1832</v>
      </c>
      <c r="G60" s="72" t="s">
        <v>1852</v>
      </c>
      <c r="H60" s="72" t="s">
        <v>18</v>
      </c>
      <c r="I60" s="72"/>
      <c r="J60" s="77"/>
      <c r="K60" s="77"/>
      <c r="L60" s="77"/>
      <c r="M60" s="78" t="s">
        <v>1824</v>
      </c>
      <c r="N60" s="78" t="s">
        <v>1825</v>
      </c>
      <c r="O60" s="78"/>
      <c r="P60" s="80">
        <v>80.23</v>
      </c>
    </row>
    <row r="61" spans="1:16" x14ac:dyDescent="0.3">
      <c r="A61" s="72" t="s">
        <v>407</v>
      </c>
      <c r="B61" s="72" t="s">
        <v>1372</v>
      </c>
      <c r="C61" s="74">
        <v>2017</v>
      </c>
      <c r="D61" s="81">
        <v>84.32</v>
      </c>
      <c r="E61" s="72" t="s">
        <v>1831</v>
      </c>
      <c r="F61" s="76" t="s">
        <v>1832</v>
      </c>
      <c r="G61" s="72" t="s">
        <v>1852</v>
      </c>
      <c r="H61" s="72" t="s">
        <v>18</v>
      </c>
      <c r="I61" s="72"/>
      <c r="J61" s="77"/>
      <c r="K61" s="77"/>
      <c r="L61" s="77"/>
      <c r="M61" s="78" t="s">
        <v>1824</v>
      </c>
      <c r="N61" s="78" t="s">
        <v>1825</v>
      </c>
      <c r="O61" s="78"/>
      <c r="P61" s="80">
        <v>84.32</v>
      </c>
    </row>
    <row r="62" spans="1:16" x14ac:dyDescent="0.3">
      <c r="A62" s="72" t="s">
        <v>542</v>
      </c>
      <c r="B62" s="72" t="s">
        <v>1883</v>
      </c>
      <c r="C62" s="74">
        <v>2017</v>
      </c>
      <c r="D62" s="81">
        <v>51.22</v>
      </c>
      <c r="E62" s="72" t="s">
        <v>1831</v>
      </c>
      <c r="F62" s="76" t="s">
        <v>1832</v>
      </c>
      <c r="G62" s="72" t="s">
        <v>1165</v>
      </c>
      <c r="H62" s="72" t="s">
        <v>18</v>
      </c>
      <c r="I62" s="72"/>
      <c r="J62" s="77"/>
      <c r="K62" s="77"/>
      <c r="L62" s="77"/>
      <c r="M62" s="78" t="s">
        <v>1824</v>
      </c>
      <c r="N62" s="78" t="s">
        <v>1825</v>
      </c>
      <c r="O62" s="78"/>
      <c r="P62" s="80">
        <v>51.22</v>
      </c>
    </row>
    <row r="63" spans="1:16" x14ac:dyDescent="0.3">
      <c r="A63" s="72" t="s">
        <v>532</v>
      </c>
      <c r="B63" s="72" t="s">
        <v>1884</v>
      </c>
      <c r="C63" s="74">
        <v>2017</v>
      </c>
      <c r="D63" s="81">
        <v>62.35</v>
      </c>
      <c r="E63" s="72" t="s">
        <v>1831</v>
      </c>
      <c r="F63" s="76" t="s">
        <v>1832</v>
      </c>
      <c r="G63" s="72" t="s">
        <v>1165</v>
      </c>
      <c r="H63" s="72" t="s">
        <v>18</v>
      </c>
      <c r="I63" s="72"/>
      <c r="J63" s="77"/>
      <c r="K63" s="77"/>
      <c r="L63" s="77"/>
      <c r="M63" s="78" t="s">
        <v>1824</v>
      </c>
      <c r="N63" s="78" t="s">
        <v>1825</v>
      </c>
      <c r="O63" s="78"/>
      <c r="P63" s="80">
        <v>62.35</v>
      </c>
    </row>
    <row r="64" spans="1:16" x14ac:dyDescent="0.3">
      <c r="A64" s="72" t="s">
        <v>498</v>
      </c>
      <c r="B64" s="72" t="s">
        <v>1885</v>
      </c>
      <c r="C64" s="74">
        <v>2017</v>
      </c>
      <c r="D64" s="81">
        <v>69.8</v>
      </c>
      <c r="E64" s="72" t="s">
        <v>1831</v>
      </c>
      <c r="F64" s="76" t="s">
        <v>1832</v>
      </c>
      <c r="G64" s="72" t="s">
        <v>1165</v>
      </c>
      <c r="H64" s="72" t="s">
        <v>18</v>
      </c>
      <c r="I64" s="72"/>
      <c r="J64" s="77"/>
      <c r="K64" s="77"/>
      <c r="L64" s="77"/>
      <c r="M64" s="78" t="s">
        <v>1824</v>
      </c>
      <c r="N64" s="78" t="s">
        <v>1825</v>
      </c>
      <c r="O64" s="78"/>
      <c r="P64" s="80">
        <v>69.8</v>
      </c>
    </row>
    <row r="65" spans="1:16" x14ac:dyDescent="0.3">
      <c r="A65" s="72" t="s">
        <v>530</v>
      </c>
      <c r="B65" s="72" t="s">
        <v>1886</v>
      </c>
      <c r="C65" s="74">
        <v>2017</v>
      </c>
      <c r="D65" s="81">
        <v>60.65</v>
      </c>
      <c r="E65" s="72" t="s">
        <v>1831</v>
      </c>
      <c r="F65" s="76" t="s">
        <v>1832</v>
      </c>
      <c r="G65" s="72" t="s">
        <v>1165</v>
      </c>
      <c r="H65" s="72" t="s">
        <v>18</v>
      </c>
      <c r="I65" s="72" t="s">
        <v>1887</v>
      </c>
      <c r="J65" s="81">
        <v>16.190000000000001</v>
      </c>
      <c r="K65" s="77"/>
      <c r="L65" s="77"/>
      <c r="M65" s="78" t="s">
        <v>1824</v>
      </c>
      <c r="N65" s="78" t="s">
        <v>1825</v>
      </c>
      <c r="O65" s="78"/>
      <c r="P65" s="80">
        <v>60.65</v>
      </c>
    </row>
    <row r="66" spans="1:16" x14ac:dyDescent="0.3">
      <c r="A66" s="72" t="s">
        <v>516</v>
      </c>
      <c r="B66" s="72" t="s">
        <v>1888</v>
      </c>
      <c r="C66" s="74">
        <v>2017</v>
      </c>
      <c r="D66" s="81">
        <v>76.540000000000006</v>
      </c>
      <c r="E66" s="72" t="s">
        <v>1831</v>
      </c>
      <c r="F66" s="76" t="s">
        <v>1832</v>
      </c>
      <c r="G66" s="72" t="s">
        <v>1165</v>
      </c>
      <c r="H66" s="72" t="s">
        <v>18</v>
      </c>
      <c r="I66" s="72" t="s">
        <v>1889</v>
      </c>
      <c r="J66" s="81">
        <v>16.190000000000001</v>
      </c>
      <c r="K66" s="77"/>
      <c r="L66" s="77"/>
      <c r="M66" s="78" t="s">
        <v>1824</v>
      </c>
      <c r="N66" s="78" t="s">
        <v>1825</v>
      </c>
      <c r="O66" s="78"/>
      <c r="P66" s="80">
        <v>76.540000000000006</v>
      </c>
    </row>
    <row r="67" spans="1:16" x14ac:dyDescent="0.3">
      <c r="A67" s="72" t="s">
        <v>494</v>
      </c>
      <c r="B67" s="72" t="s">
        <v>1890</v>
      </c>
      <c r="C67" s="74">
        <v>2017</v>
      </c>
      <c r="D67" s="81">
        <v>96.87</v>
      </c>
      <c r="E67" s="72" t="s">
        <v>1831</v>
      </c>
      <c r="F67" s="76" t="s">
        <v>1832</v>
      </c>
      <c r="G67" s="72" t="s">
        <v>1165</v>
      </c>
      <c r="H67" s="72" t="s">
        <v>18</v>
      </c>
      <c r="I67" s="72" t="s">
        <v>1891</v>
      </c>
      <c r="J67" s="81">
        <v>16.190000000000001</v>
      </c>
      <c r="K67" s="77"/>
      <c r="L67" s="77"/>
      <c r="M67" s="78" t="s">
        <v>1824</v>
      </c>
      <c r="N67" s="78" t="s">
        <v>1825</v>
      </c>
      <c r="O67" s="78"/>
      <c r="P67" s="80">
        <v>96.87</v>
      </c>
    </row>
    <row r="68" spans="1:16" x14ac:dyDescent="0.3">
      <c r="A68" s="72" t="s">
        <v>512</v>
      </c>
      <c r="B68" s="72" t="s">
        <v>1892</v>
      </c>
      <c r="C68" s="74">
        <v>2017</v>
      </c>
      <c r="D68" s="81">
        <v>39.15</v>
      </c>
      <c r="E68" s="72" t="s">
        <v>1831</v>
      </c>
      <c r="F68" s="76" t="s">
        <v>1832</v>
      </c>
      <c r="G68" s="72" t="s">
        <v>1165</v>
      </c>
      <c r="H68" s="72" t="s">
        <v>18</v>
      </c>
      <c r="I68" s="72" t="s">
        <v>1893</v>
      </c>
      <c r="J68" s="80"/>
      <c r="K68" s="77"/>
      <c r="L68" s="77"/>
      <c r="M68" s="78" t="s">
        <v>1824</v>
      </c>
      <c r="N68" s="78" t="s">
        <v>1825</v>
      </c>
      <c r="O68" s="78"/>
      <c r="P68" s="80">
        <v>39.15</v>
      </c>
    </row>
    <row r="69" spans="1:16" x14ac:dyDescent="0.3">
      <c r="A69" s="72" t="s">
        <v>534</v>
      </c>
      <c r="B69" s="72" t="s">
        <v>1894</v>
      </c>
      <c r="C69" s="74">
        <v>2017</v>
      </c>
      <c r="D69" s="81">
        <v>44.63</v>
      </c>
      <c r="E69" s="72" t="s">
        <v>1831</v>
      </c>
      <c r="F69" s="76" t="s">
        <v>1832</v>
      </c>
      <c r="G69" s="72" t="s">
        <v>1165</v>
      </c>
      <c r="H69" s="72" t="s">
        <v>18</v>
      </c>
      <c r="I69" s="72" t="s">
        <v>1893</v>
      </c>
      <c r="J69" s="80"/>
      <c r="K69" s="77"/>
      <c r="L69" s="77"/>
      <c r="M69" s="78" t="s">
        <v>1824</v>
      </c>
      <c r="N69" s="78" t="s">
        <v>1825</v>
      </c>
      <c r="O69" s="78"/>
      <c r="P69" s="80">
        <v>44.63</v>
      </c>
    </row>
    <row r="70" spans="1:16" x14ac:dyDescent="0.3">
      <c r="A70" s="72" t="s">
        <v>526</v>
      </c>
      <c r="B70" s="72" t="s">
        <v>1895</v>
      </c>
      <c r="C70" s="74">
        <v>2017</v>
      </c>
      <c r="D70" s="81">
        <v>48.73</v>
      </c>
      <c r="E70" s="72" t="s">
        <v>1831</v>
      </c>
      <c r="F70" s="76" t="s">
        <v>1832</v>
      </c>
      <c r="G70" s="72" t="s">
        <v>1165</v>
      </c>
      <c r="H70" s="72" t="s">
        <v>18</v>
      </c>
      <c r="I70" s="72" t="s">
        <v>1893</v>
      </c>
      <c r="J70" s="80"/>
      <c r="K70" s="77"/>
      <c r="L70" s="77"/>
      <c r="M70" s="78" t="s">
        <v>1824</v>
      </c>
      <c r="N70" s="78" t="s">
        <v>1825</v>
      </c>
      <c r="O70" s="78"/>
      <c r="P70" s="80">
        <v>48.73</v>
      </c>
    </row>
    <row r="71" spans="1:16" x14ac:dyDescent="0.3">
      <c r="A71" s="72" t="s">
        <v>506</v>
      </c>
      <c r="B71" s="72" t="s">
        <v>1896</v>
      </c>
      <c r="C71" s="74">
        <v>2017</v>
      </c>
      <c r="D71" s="81">
        <v>48.58</v>
      </c>
      <c r="E71" s="72" t="s">
        <v>1831</v>
      </c>
      <c r="F71" s="76" t="s">
        <v>1832</v>
      </c>
      <c r="G71" s="72" t="s">
        <v>1165</v>
      </c>
      <c r="H71" s="72" t="s">
        <v>18</v>
      </c>
      <c r="I71" s="72" t="s">
        <v>1897</v>
      </c>
      <c r="J71" s="81">
        <v>16.190000000000001</v>
      </c>
      <c r="K71" s="77"/>
      <c r="L71" s="77"/>
      <c r="M71" s="78" t="s">
        <v>1824</v>
      </c>
      <c r="N71" s="78" t="s">
        <v>1825</v>
      </c>
      <c r="O71" s="78"/>
      <c r="P71" s="80">
        <v>48.58</v>
      </c>
    </row>
    <row r="72" spans="1:16" x14ac:dyDescent="0.3">
      <c r="A72" s="72" t="s">
        <v>538</v>
      </c>
      <c r="B72" s="72" t="s">
        <v>1898</v>
      </c>
      <c r="C72" s="74">
        <v>2017</v>
      </c>
      <c r="D72" s="81">
        <v>58.82</v>
      </c>
      <c r="E72" s="72" t="s">
        <v>1831</v>
      </c>
      <c r="F72" s="76" t="s">
        <v>1832</v>
      </c>
      <c r="G72" s="72" t="s">
        <v>1165</v>
      </c>
      <c r="H72" s="72" t="s">
        <v>18</v>
      </c>
      <c r="I72" s="72" t="s">
        <v>1899</v>
      </c>
      <c r="J72" s="81">
        <v>16.190000000000001</v>
      </c>
      <c r="K72" s="77"/>
      <c r="L72" s="77"/>
      <c r="M72" s="78" t="s">
        <v>1824</v>
      </c>
      <c r="N72" s="78" t="s">
        <v>1825</v>
      </c>
      <c r="O72" s="78"/>
      <c r="P72" s="80">
        <v>58.82</v>
      </c>
    </row>
    <row r="73" spans="1:16" x14ac:dyDescent="0.3">
      <c r="A73" s="72" t="s">
        <v>496</v>
      </c>
      <c r="B73" s="72" t="s">
        <v>1900</v>
      </c>
      <c r="C73" s="74">
        <v>2017</v>
      </c>
      <c r="D73" s="81">
        <v>75.8</v>
      </c>
      <c r="E73" s="72" t="s">
        <v>1831</v>
      </c>
      <c r="F73" s="76" t="s">
        <v>1832</v>
      </c>
      <c r="G73" s="72" t="s">
        <v>1165</v>
      </c>
      <c r="H73" s="72" t="s">
        <v>18</v>
      </c>
      <c r="I73" s="72" t="s">
        <v>1901</v>
      </c>
      <c r="J73" s="81">
        <v>16.190000000000001</v>
      </c>
      <c r="K73" s="77"/>
      <c r="L73" s="77"/>
      <c r="M73" s="78" t="s">
        <v>1824</v>
      </c>
      <c r="N73" s="78" t="s">
        <v>1825</v>
      </c>
      <c r="O73" s="78"/>
      <c r="P73" s="80">
        <v>75.8</v>
      </c>
    </row>
    <row r="74" spans="1:16" x14ac:dyDescent="0.3">
      <c r="A74" s="72" t="s">
        <v>415</v>
      </c>
      <c r="B74" s="72" t="s">
        <v>1902</v>
      </c>
      <c r="C74" s="74">
        <v>2017</v>
      </c>
      <c r="D74" s="81">
        <v>130.44999999999999</v>
      </c>
      <c r="E74" s="72" t="s">
        <v>1831</v>
      </c>
      <c r="F74" s="76" t="s">
        <v>1832</v>
      </c>
      <c r="G74" s="72" t="s">
        <v>1852</v>
      </c>
      <c r="H74" s="72" t="s">
        <v>18</v>
      </c>
      <c r="I74" s="72" t="s">
        <v>1893</v>
      </c>
      <c r="J74" s="77" t="s">
        <v>1893</v>
      </c>
      <c r="K74" s="77"/>
      <c r="L74" s="77"/>
      <c r="M74" s="78" t="s">
        <v>1824</v>
      </c>
      <c r="N74" s="78" t="s">
        <v>1825</v>
      </c>
      <c r="O74" s="78"/>
      <c r="P74" s="80">
        <v>130.44999999999999</v>
      </c>
    </row>
    <row r="75" spans="1:16" x14ac:dyDescent="0.3">
      <c r="A75" s="72" t="s">
        <v>413</v>
      </c>
      <c r="B75" s="72" t="s">
        <v>1360</v>
      </c>
      <c r="C75" s="74">
        <v>2017</v>
      </c>
      <c r="D75" s="81">
        <v>8.26</v>
      </c>
      <c r="E75" s="72" t="s">
        <v>1854</v>
      </c>
      <c r="F75" s="76" t="s">
        <v>1855</v>
      </c>
      <c r="G75" s="72" t="s">
        <v>1856</v>
      </c>
      <c r="H75" s="72" t="s">
        <v>18</v>
      </c>
      <c r="I75" s="72" t="s">
        <v>1893</v>
      </c>
      <c r="J75" s="77" t="s">
        <v>1893</v>
      </c>
      <c r="K75" s="77"/>
      <c r="L75" s="77"/>
      <c r="M75" s="78" t="s">
        <v>1824</v>
      </c>
      <c r="N75" s="78" t="s">
        <v>1825</v>
      </c>
      <c r="O75" s="78"/>
      <c r="P75" s="80">
        <v>8.26</v>
      </c>
    </row>
    <row r="76" spans="1:16" x14ac:dyDescent="0.3">
      <c r="A76" s="72" t="s">
        <v>429</v>
      </c>
      <c r="B76" s="72" t="s">
        <v>1361</v>
      </c>
      <c r="C76" s="74">
        <v>2017</v>
      </c>
      <c r="D76" s="81">
        <v>19.97</v>
      </c>
      <c r="E76" s="72" t="s">
        <v>1854</v>
      </c>
      <c r="F76" s="76" t="s">
        <v>1855</v>
      </c>
      <c r="G76" s="72" t="s">
        <v>1856</v>
      </c>
      <c r="H76" s="72" t="s">
        <v>18</v>
      </c>
      <c r="I76" s="72" t="s">
        <v>1893</v>
      </c>
      <c r="J76" s="77" t="s">
        <v>1893</v>
      </c>
      <c r="K76" s="77"/>
      <c r="L76" s="77"/>
      <c r="M76" s="78" t="s">
        <v>1824</v>
      </c>
      <c r="N76" s="78" t="s">
        <v>1825</v>
      </c>
      <c r="O76" s="78"/>
      <c r="P76" s="80">
        <v>19.97</v>
      </c>
    </row>
    <row r="77" spans="1:16" x14ac:dyDescent="0.3">
      <c r="A77" s="72" t="s">
        <v>17</v>
      </c>
      <c r="B77" s="72" t="s">
        <v>1903</v>
      </c>
      <c r="C77" s="74">
        <v>2017</v>
      </c>
      <c r="D77" s="81">
        <v>19.97</v>
      </c>
      <c r="E77" s="72" t="s">
        <v>1854</v>
      </c>
      <c r="F77" s="76" t="s">
        <v>1855</v>
      </c>
      <c r="G77" s="72" t="s">
        <v>1856</v>
      </c>
      <c r="H77" s="72" t="s">
        <v>18</v>
      </c>
      <c r="I77" s="72" t="s">
        <v>1893</v>
      </c>
      <c r="J77" s="77" t="s">
        <v>1893</v>
      </c>
      <c r="K77" s="77"/>
      <c r="L77" s="77"/>
      <c r="M77" s="78" t="s">
        <v>1824</v>
      </c>
      <c r="N77" s="78" t="s">
        <v>1825</v>
      </c>
      <c r="O77" s="78"/>
      <c r="P77" s="80">
        <v>19.97</v>
      </c>
    </row>
    <row r="78" spans="1:16" x14ac:dyDescent="0.3">
      <c r="A78" s="72" t="s">
        <v>9</v>
      </c>
      <c r="B78" s="72" t="s">
        <v>1904</v>
      </c>
      <c r="C78" s="74">
        <v>2017</v>
      </c>
      <c r="D78" s="81">
        <v>28.05</v>
      </c>
      <c r="E78" s="72" t="s">
        <v>1831</v>
      </c>
      <c r="F78" s="76" t="s">
        <v>1832</v>
      </c>
      <c r="G78" s="72" t="s">
        <v>1165</v>
      </c>
      <c r="H78" s="72" t="s">
        <v>1905</v>
      </c>
      <c r="I78" s="72" t="s">
        <v>1893</v>
      </c>
      <c r="J78" s="77" t="s">
        <v>1893</v>
      </c>
      <c r="K78" s="77"/>
      <c r="L78" s="77"/>
      <c r="M78" s="78" t="s">
        <v>1824</v>
      </c>
      <c r="N78" s="78" t="s">
        <v>1825</v>
      </c>
      <c r="O78" s="78"/>
      <c r="P78" s="80">
        <v>28.05</v>
      </c>
    </row>
    <row r="79" spans="1:16" x14ac:dyDescent="0.3">
      <c r="A79" s="72" t="s">
        <v>15</v>
      </c>
      <c r="B79" s="72" t="s">
        <v>1906</v>
      </c>
      <c r="C79" s="74">
        <v>2017</v>
      </c>
      <c r="D79" s="81">
        <v>38.39</v>
      </c>
      <c r="E79" s="72" t="s">
        <v>1831</v>
      </c>
      <c r="F79" s="76" t="s">
        <v>1832</v>
      </c>
      <c r="G79" s="72" t="s">
        <v>1165</v>
      </c>
      <c r="H79" s="72" t="s">
        <v>1905</v>
      </c>
      <c r="I79" s="72" t="s">
        <v>1893</v>
      </c>
      <c r="J79" s="77" t="s">
        <v>1893</v>
      </c>
      <c r="K79" s="77"/>
      <c r="L79" s="77"/>
      <c r="M79" s="78" t="s">
        <v>1824</v>
      </c>
      <c r="N79" s="78" t="s">
        <v>1825</v>
      </c>
      <c r="O79" s="78"/>
      <c r="P79" s="80">
        <v>38.39</v>
      </c>
    </row>
    <row r="80" spans="1:16" x14ac:dyDescent="0.3">
      <c r="A80" s="72" t="s">
        <v>11</v>
      </c>
      <c r="B80" s="72" t="s">
        <v>1907</v>
      </c>
      <c r="C80" s="74">
        <v>2017</v>
      </c>
      <c r="D80" s="81">
        <v>64.89</v>
      </c>
      <c r="E80" s="72" t="s">
        <v>1831</v>
      </c>
      <c r="F80" s="76" t="s">
        <v>1832</v>
      </c>
      <c r="G80" s="72" t="s">
        <v>1165</v>
      </c>
      <c r="H80" s="72" t="s">
        <v>1905</v>
      </c>
      <c r="I80" s="72" t="s">
        <v>1893</v>
      </c>
      <c r="J80" s="77" t="s">
        <v>1893</v>
      </c>
      <c r="K80" s="77"/>
      <c r="L80" s="77"/>
      <c r="M80" s="78" t="s">
        <v>1824</v>
      </c>
      <c r="N80" s="78" t="s">
        <v>1825</v>
      </c>
      <c r="O80" s="78"/>
      <c r="P80" s="80">
        <v>64.89</v>
      </c>
    </row>
    <row r="81" spans="1:16" x14ac:dyDescent="0.3">
      <c r="A81" s="72" t="s">
        <v>480</v>
      </c>
      <c r="B81" s="72" t="s">
        <v>1908</v>
      </c>
      <c r="C81" s="74">
        <v>2017</v>
      </c>
      <c r="D81" s="81">
        <v>6.63</v>
      </c>
      <c r="E81" s="72" t="s">
        <v>1831</v>
      </c>
      <c r="F81" s="76" t="s">
        <v>1832</v>
      </c>
      <c r="G81" s="72" t="s">
        <v>1909</v>
      </c>
      <c r="H81" s="72" t="s">
        <v>1905</v>
      </c>
      <c r="I81" s="72" t="s">
        <v>1893</v>
      </c>
      <c r="J81" s="77" t="s">
        <v>1893</v>
      </c>
      <c r="K81" s="77"/>
      <c r="L81" s="77"/>
      <c r="M81" s="78" t="s">
        <v>1824</v>
      </c>
      <c r="N81" s="78" t="s">
        <v>1825</v>
      </c>
      <c r="O81" s="78"/>
      <c r="P81" s="80">
        <v>6.63</v>
      </c>
    </row>
    <row r="82" spans="1:16" x14ac:dyDescent="0.3">
      <c r="A82" s="72" t="s">
        <v>484</v>
      </c>
      <c r="B82" s="72" t="s">
        <v>1910</v>
      </c>
      <c r="C82" s="74">
        <v>2017</v>
      </c>
      <c r="D82" s="81">
        <v>1.08</v>
      </c>
      <c r="E82" s="72" t="s">
        <v>1831</v>
      </c>
      <c r="F82" s="76" t="s">
        <v>1832</v>
      </c>
      <c r="G82" s="72" t="s">
        <v>1911</v>
      </c>
      <c r="H82" s="72" t="s">
        <v>1905</v>
      </c>
      <c r="I82" s="72" t="s">
        <v>1893</v>
      </c>
      <c r="J82" s="77" t="s">
        <v>1893</v>
      </c>
      <c r="K82" s="77"/>
      <c r="L82" s="77"/>
      <c r="M82" s="78" t="s">
        <v>1824</v>
      </c>
      <c r="N82" s="78" t="s">
        <v>1825</v>
      </c>
      <c r="O82" s="78"/>
      <c r="P82" s="80">
        <v>1.08</v>
      </c>
    </row>
    <row r="83" spans="1:16" x14ac:dyDescent="0.3">
      <c r="A83" s="72" t="s">
        <v>447</v>
      </c>
      <c r="B83" s="72" t="s">
        <v>1912</v>
      </c>
      <c r="C83" s="74">
        <v>2017</v>
      </c>
      <c r="D83" s="81">
        <v>34.01</v>
      </c>
      <c r="E83" s="72" t="s">
        <v>1831</v>
      </c>
      <c r="F83" s="76" t="s">
        <v>1832</v>
      </c>
      <c r="G83" s="72" t="s">
        <v>1165</v>
      </c>
      <c r="H83" s="72" t="s">
        <v>1905</v>
      </c>
      <c r="I83" s="72" t="s">
        <v>1893</v>
      </c>
      <c r="J83" s="77" t="s">
        <v>1893</v>
      </c>
      <c r="K83" s="77"/>
      <c r="L83" s="77"/>
      <c r="M83" s="78" t="s">
        <v>1824</v>
      </c>
      <c r="N83" s="78" t="s">
        <v>1825</v>
      </c>
      <c r="O83" s="78"/>
      <c r="P83" s="80">
        <v>34.01</v>
      </c>
    </row>
    <row r="84" spans="1:16" x14ac:dyDescent="0.3">
      <c r="A84" s="72" t="s">
        <v>470</v>
      </c>
      <c r="B84" s="72" t="s">
        <v>1913</v>
      </c>
      <c r="C84" s="74">
        <v>2017</v>
      </c>
      <c r="D84" s="81">
        <v>40.520000000000003</v>
      </c>
      <c r="E84" s="72" t="s">
        <v>1831</v>
      </c>
      <c r="F84" s="76" t="s">
        <v>1832</v>
      </c>
      <c r="G84" s="72" t="s">
        <v>1165</v>
      </c>
      <c r="H84" s="72" t="s">
        <v>1905</v>
      </c>
      <c r="I84" s="72" t="s">
        <v>1893</v>
      </c>
      <c r="J84" s="77" t="s">
        <v>1893</v>
      </c>
      <c r="K84" s="77"/>
      <c r="L84" s="77"/>
      <c r="M84" s="78" t="s">
        <v>1824</v>
      </c>
      <c r="N84" s="78" t="s">
        <v>1825</v>
      </c>
      <c r="O84" s="78"/>
      <c r="P84" s="80">
        <v>40.520000000000003</v>
      </c>
    </row>
    <row r="85" spans="1:16" x14ac:dyDescent="0.3">
      <c r="A85" s="72" t="s">
        <v>444</v>
      </c>
      <c r="B85" s="72" t="s">
        <v>1914</v>
      </c>
      <c r="C85" s="74">
        <v>2017</v>
      </c>
      <c r="D85" s="81">
        <v>44.5</v>
      </c>
      <c r="E85" s="72" t="s">
        <v>1831</v>
      </c>
      <c r="F85" s="76" t="s">
        <v>1832</v>
      </c>
      <c r="G85" s="72" t="s">
        <v>1165</v>
      </c>
      <c r="H85" s="72" t="s">
        <v>1905</v>
      </c>
      <c r="I85" s="72" t="s">
        <v>1893</v>
      </c>
      <c r="J85" s="77" t="s">
        <v>1893</v>
      </c>
      <c r="K85" s="77"/>
      <c r="L85" s="77"/>
      <c r="M85" s="78" t="s">
        <v>1824</v>
      </c>
      <c r="N85" s="78" t="s">
        <v>1825</v>
      </c>
      <c r="O85" s="78"/>
      <c r="P85" s="80">
        <v>44.5</v>
      </c>
    </row>
    <row r="86" spans="1:16" x14ac:dyDescent="0.3">
      <c r="A86" s="72" t="s">
        <v>478</v>
      </c>
      <c r="B86" s="72" t="s">
        <v>1915</v>
      </c>
      <c r="C86" s="74">
        <v>2017</v>
      </c>
      <c r="D86" s="81">
        <v>10.72</v>
      </c>
      <c r="E86" s="72" t="s">
        <v>1831</v>
      </c>
      <c r="F86" s="76" t="s">
        <v>1832</v>
      </c>
      <c r="G86" s="72" t="s">
        <v>1909</v>
      </c>
      <c r="H86" s="72" t="s">
        <v>1905</v>
      </c>
      <c r="I86" s="72" t="s">
        <v>1893</v>
      </c>
      <c r="J86" s="77" t="s">
        <v>1893</v>
      </c>
      <c r="K86" s="77"/>
      <c r="L86" s="77"/>
      <c r="M86" s="78" t="s">
        <v>1824</v>
      </c>
      <c r="N86" s="78" t="s">
        <v>1825</v>
      </c>
      <c r="O86" s="78"/>
      <c r="P86" s="80">
        <v>10.72</v>
      </c>
    </row>
    <row r="87" spans="1:16" x14ac:dyDescent="0.3">
      <c r="A87" s="72" t="s">
        <v>439</v>
      </c>
      <c r="B87" s="72" t="s">
        <v>1916</v>
      </c>
      <c r="C87" s="74">
        <v>2017</v>
      </c>
      <c r="D87" s="81">
        <v>1.43</v>
      </c>
      <c r="E87" s="72" t="s">
        <v>1831</v>
      </c>
      <c r="F87" s="76" t="s">
        <v>1832</v>
      </c>
      <c r="G87" s="72" t="s">
        <v>1911</v>
      </c>
      <c r="H87" s="72" t="s">
        <v>1905</v>
      </c>
      <c r="I87" s="72" t="s">
        <v>1893</v>
      </c>
      <c r="J87" s="77" t="s">
        <v>1893</v>
      </c>
      <c r="K87" s="77"/>
      <c r="L87" s="77"/>
      <c r="M87" s="78" t="s">
        <v>1824</v>
      </c>
      <c r="N87" s="78" t="s">
        <v>1825</v>
      </c>
      <c r="O87" s="78"/>
      <c r="P87" s="80">
        <v>1.43</v>
      </c>
    </row>
    <row r="88" spans="1:16" x14ac:dyDescent="0.3">
      <c r="A88" s="72" t="s">
        <v>467</v>
      </c>
      <c r="B88" s="72" t="s">
        <v>1917</v>
      </c>
      <c r="C88" s="74">
        <v>2017</v>
      </c>
      <c r="D88" s="81">
        <v>39.03</v>
      </c>
      <c r="E88" s="72" t="s">
        <v>1831</v>
      </c>
      <c r="F88" s="76" t="s">
        <v>1832</v>
      </c>
      <c r="G88" s="72" t="s">
        <v>1165</v>
      </c>
      <c r="H88" s="72" t="s">
        <v>1905</v>
      </c>
      <c r="I88" s="72" t="s">
        <v>1893</v>
      </c>
      <c r="J88" s="77" t="s">
        <v>1893</v>
      </c>
      <c r="K88" s="77"/>
      <c r="L88" s="77"/>
      <c r="M88" s="78" t="s">
        <v>1824</v>
      </c>
      <c r="N88" s="78" t="s">
        <v>1825</v>
      </c>
      <c r="O88" s="78"/>
      <c r="P88" s="80">
        <v>39.03</v>
      </c>
    </row>
    <row r="89" spans="1:16" x14ac:dyDescent="0.3">
      <c r="A89" s="72" t="s">
        <v>461</v>
      </c>
      <c r="B89" s="72" t="s">
        <v>1918</v>
      </c>
      <c r="C89" s="74">
        <v>2017</v>
      </c>
      <c r="D89" s="81">
        <v>50.03</v>
      </c>
      <c r="E89" s="72" t="s">
        <v>1831</v>
      </c>
      <c r="F89" s="76" t="s">
        <v>1832</v>
      </c>
      <c r="G89" s="72" t="s">
        <v>1165</v>
      </c>
      <c r="H89" s="72" t="s">
        <v>1905</v>
      </c>
      <c r="I89" s="72" t="s">
        <v>1893</v>
      </c>
      <c r="J89" s="77" t="s">
        <v>1893</v>
      </c>
      <c r="K89" s="77"/>
      <c r="L89" s="77"/>
      <c r="M89" s="78" t="s">
        <v>1824</v>
      </c>
      <c r="N89" s="78" t="s">
        <v>1825</v>
      </c>
      <c r="O89" s="78"/>
      <c r="P89" s="80">
        <v>50.03</v>
      </c>
    </row>
    <row r="90" spans="1:16" x14ac:dyDescent="0.3">
      <c r="A90" s="72" t="s">
        <v>459</v>
      </c>
      <c r="B90" s="72" t="s">
        <v>1919</v>
      </c>
      <c r="C90" s="74">
        <v>2017</v>
      </c>
      <c r="D90" s="81">
        <v>57.4</v>
      </c>
      <c r="E90" s="72" t="s">
        <v>1831</v>
      </c>
      <c r="F90" s="76" t="s">
        <v>1832</v>
      </c>
      <c r="G90" s="72" t="s">
        <v>1165</v>
      </c>
      <c r="H90" s="72" t="s">
        <v>1905</v>
      </c>
      <c r="I90" s="72" t="s">
        <v>1893</v>
      </c>
      <c r="J90" s="77" t="s">
        <v>1893</v>
      </c>
      <c r="K90" s="77"/>
      <c r="L90" s="77"/>
      <c r="M90" s="78" t="s">
        <v>1824</v>
      </c>
      <c r="N90" s="78" t="s">
        <v>1825</v>
      </c>
      <c r="O90" s="78"/>
      <c r="P90" s="80">
        <v>57.4</v>
      </c>
    </row>
    <row r="91" spans="1:16" x14ac:dyDescent="0.3">
      <c r="A91" s="72" t="s">
        <v>472</v>
      </c>
      <c r="B91" s="72" t="s">
        <v>1920</v>
      </c>
      <c r="C91" s="74">
        <v>2017</v>
      </c>
      <c r="D91" s="81">
        <v>6.98</v>
      </c>
      <c r="E91" s="72" t="s">
        <v>1831</v>
      </c>
      <c r="F91" s="76" t="s">
        <v>1832</v>
      </c>
      <c r="G91" s="72" t="s">
        <v>1909</v>
      </c>
      <c r="H91" s="72" t="s">
        <v>1905</v>
      </c>
      <c r="I91" s="72" t="s">
        <v>1893</v>
      </c>
      <c r="J91" s="77" t="s">
        <v>1893</v>
      </c>
      <c r="K91" s="77"/>
      <c r="L91" s="77"/>
      <c r="M91" s="78" t="s">
        <v>1824</v>
      </c>
      <c r="N91" s="78" t="s">
        <v>1825</v>
      </c>
      <c r="O91" s="78"/>
      <c r="P91" s="80">
        <v>6.98</v>
      </c>
    </row>
    <row r="92" spans="1:16" x14ac:dyDescent="0.3">
      <c r="A92" s="72" t="s">
        <v>441</v>
      </c>
      <c r="B92" s="72" t="s">
        <v>1921</v>
      </c>
      <c r="C92" s="74">
        <v>2017</v>
      </c>
      <c r="D92" s="81">
        <v>1.44</v>
      </c>
      <c r="E92" s="72" t="s">
        <v>1831</v>
      </c>
      <c r="F92" s="76" t="s">
        <v>1832</v>
      </c>
      <c r="G92" s="72" t="s">
        <v>1911</v>
      </c>
      <c r="H92" s="72" t="s">
        <v>1905</v>
      </c>
      <c r="I92" s="72" t="s">
        <v>1893</v>
      </c>
      <c r="J92" s="77" t="s">
        <v>1893</v>
      </c>
      <c r="K92" s="77"/>
      <c r="L92" s="77"/>
      <c r="M92" s="78" t="s">
        <v>1824</v>
      </c>
      <c r="N92" s="78" t="s">
        <v>1825</v>
      </c>
      <c r="O92" s="78"/>
      <c r="P92" s="80">
        <v>1.44</v>
      </c>
    </row>
    <row r="93" spans="1:16" x14ac:dyDescent="0.3">
      <c r="A93" s="72" t="s">
        <v>476</v>
      </c>
      <c r="B93" s="72" t="s">
        <v>1922</v>
      </c>
      <c r="C93" s="74">
        <v>2017</v>
      </c>
      <c r="D93" s="81">
        <v>27.12</v>
      </c>
      <c r="E93" s="72" t="s">
        <v>1831</v>
      </c>
      <c r="F93" s="76" t="s">
        <v>1832</v>
      </c>
      <c r="G93" s="72" t="s">
        <v>1165</v>
      </c>
      <c r="H93" s="72" t="s">
        <v>1905</v>
      </c>
      <c r="I93" s="72" t="s">
        <v>1893</v>
      </c>
      <c r="J93" s="77" t="s">
        <v>1893</v>
      </c>
      <c r="K93" s="77"/>
      <c r="L93" s="77"/>
      <c r="M93" s="78" t="s">
        <v>1824</v>
      </c>
      <c r="N93" s="78" t="s">
        <v>1825</v>
      </c>
      <c r="O93" s="78"/>
      <c r="P93" s="80">
        <v>27.12</v>
      </c>
    </row>
    <row r="94" spans="1:16" x14ac:dyDescent="0.3">
      <c r="A94" s="72" t="s">
        <v>469</v>
      </c>
      <c r="B94" s="72" t="s">
        <v>1923</v>
      </c>
      <c r="C94" s="74">
        <v>2017</v>
      </c>
      <c r="D94" s="81">
        <v>32.53</v>
      </c>
      <c r="E94" s="72" t="s">
        <v>1831</v>
      </c>
      <c r="F94" s="76" t="s">
        <v>1832</v>
      </c>
      <c r="G94" s="72" t="s">
        <v>1165</v>
      </c>
      <c r="H94" s="72" t="s">
        <v>1905</v>
      </c>
      <c r="I94" s="72" t="s">
        <v>1893</v>
      </c>
      <c r="J94" s="77" t="s">
        <v>1893</v>
      </c>
      <c r="K94" s="77"/>
      <c r="L94" s="77"/>
      <c r="M94" s="78" t="s">
        <v>1824</v>
      </c>
      <c r="N94" s="78" t="s">
        <v>1825</v>
      </c>
      <c r="O94" s="78"/>
      <c r="P94" s="80">
        <v>32.53</v>
      </c>
    </row>
    <row r="95" spans="1:16" x14ac:dyDescent="0.3">
      <c r="A95" s="72" t="s">
        <v>457</v>
      </c>
      <c r="B95" s="72" t="s">
        <v>1924</v>
      </c>
      <c r="C95" s="74">
        <v>2017</v>
      </c>
      <c r="D95" s="81">
        <v>36.619999999999997</v>
      </c>
      <c r="E95" s="72" t="s">
        <v>1831</v>
      </c>
      <c r="F95" s="76" t="s">
        <v>1832</v>
      </c>
      <c r="G95" s="72" t="s">
        <v>1165</v>
      </c>
      <c r="H95" s="72" t="s">
        <v>1905</v>
      </c>
      <c r="I95" s="72" t="s">
        <v>1893</v>
      </c>
      <c r="J95" s="77" t="s">
        <v>1893</v>
      </c>
      <c r="K95" s="77"/>
      <c r="L95" s="77"/>
      <c r="M95" s="78" t="s">
        <v>1824</v>
      </c>
      <c r="N95" s="78" t="s">
        <v>1825</v>
      </c>
      <c r="O95" s="78"/>
      <c r="P95" s="80">
        <v>36.619999999999997</v>
      </c>
    </row>
    <row r="96" spans="1:16" x14ac:dyDescent="0.3">
      <c r="A96" s="72" t="s">
        <v>451</v>
      </c>
      <c r="B96" s="72" t="s">
        <v>1925</v>
      </c>
      <c r="C96" s="74">
        <v>2017</v>
      </c>
      <c r="D96" s="81">
        <v>21.17</v>
      </c>
      <c r="E96" s="72" t="s">
        <v>1831</v>
      </c>
      <c r="F96" s="76" t="s">
        <v>1832</v>
      </c>
      <c r="G96" s="72" t="s">
        <v>1926</v>
      </c>
      <c r="H96" s="72" t="s">
        <v>1905</v>
      </c>
      <c r="I96" s="72" t="s">
        <v>1927</v>
      </c>
      <c r="J96" s="81">
        <v>16.190000000000001</v>
      </c>
      <c r="K96" s="77"/>
      <c r="L96" s="77"/>
      <c r="M96" s="78" t="s">
        <v>1824</v>
      </c>
      <c r="N96" s="78" t="s">
        <v>1825</v>
      </c>
      <c r="O96" s="78"/>
      <c r="P96" s="80">
        <v>21.17</v>
      </c>
    </row>
    <row r="97" spans="1:16" x14ac:dyDescent="0.3">
      <c r="A97" s="72" t="s">
        <v>449</v>
      </c>
      <c r="B97" s="72" t="s">
        <v>1928</v>
      </c>
      <c r="C97" s="74">
        <v>2017</v>
      </c>
      <c r="D97" s="81">
        <v>25.93</v>
      </c>
      <c r="E97" s="72" t="s">
        <v>1831</v>
      </c>
      <c r="F97" s="76" t="s">
        <v>1832</v>
      </c>
      <c r="G97" s="72" t="s">
        <v>1926</v>
      </c>
      <c r="H97" s="72" t="s">
        <v>1905</v>
      </c>
      <c r="I97" s="72" t="s">
        <v>1929</v>
      </c>
      <c r="J97" s="81">
        <v>16.190000000000001</v>
      </c>
      <c r="K97" s="77"/>
      <c r="L97" s="77"/>
      <c r="M97" s="78" t="s">
        <v>1824</v>
      </c>
      <c r="N97" s="78" t="s">
        <v>1825</v>
      </c>
      <c r="O97" s="78"/>
      <c r="P97" s="80">
        <v>25.93</v>
      </c>
    </row>
    <row r="98" spans="1:16" x14ac:dyDescent="0.3">
      <c r="A98" s="72" t="s">
        <v>463</v>
      </c>
      <c r="B98" s="72" t="s">
        <v>1930</v>
      </c>
      <c r="C98" s="74">
        <v>2017</v>
      </c>
      <c r="D98" s="81">
        <v>65.31</v>
      </c>
      <c r="E98" s="72" t="s">
        <v>1831</v>
      </c>
      <c r="F98" s="76" t="s">
        <v>1832</v>
      </c>
      <c r="G98" s="72" t="s">
        <v>1926</v>
      </c>
      <c r="H98" s="72" t="s">
        <v>1905</v>
      </c>
      <c r="I98" s="72" t="s">
        <v>1931</v>
      </c>
      <c r="J98" s="81">
        <v>16.190000000000001</v>
      </c>
      <c r="K98" s="77"/>
      <c r="L98" s="77"/>
      <c r="M98" s="78" t="s">
        <v>1824</v>
      </c>
      <c r="N98" s="78" t="s">
        <v>1825</v>
      </c>
      <c r="O98" s="78"/>
      <c r="P98" s="80">
        <v>65.31</v>
      </c>
    </row>
    <row r="99" spans="1:16" x14ac:dyDescent="0.3">
      <c r="A99" s="72" t="s">
        <v>482</v>
      </c>
      <c r="B99" s="72" t="s">
        <v>1932</v>
      </c>
      <c r="C99" s="74">
        <v>2017</v>
      </c>
      <c r="D99" s="81">
        <v>38.82</v>
      </c>
      <c r="E99" s="72" t="s">
        <v>1831</v>
      </c>
      <c r="F99" s="76" t="s">
        <v>1832</v>
      </c>
      <c r="G99" s="72" t="s">
        <v>1926</v>
      </c>
      <c r="H99" s="72" t="s">
        <v>1905</v>
      </c>
      <c r="I99" s="72" t="s">
        <v>1933</v>
      </c>
      <c r="J99" s="81">
        <v>16.190000000000001</v>
      </c>
      <c r="K99" s="77"/>
      <c r="L99" s="77"/>
      <c r="M99" s="78" t="s">
        <v>1824</v>
      </c>
      <c r="N99" s="78" t="s">
        <v>1825</v>
      </c>
      <c r="O99" s="78"/>
      <c r="P99" s="80">
        <v>38.82</v>
      </c>
    </row>
    <row r="100" spans="1:16" x14ac:dyDescent="0.3">
      <c r="A100" s="72" t="s">
        <v>474</v>
      </c>
      <c r="B100" s="72" t="s">
        <v>1934</v>
      </c>
      <c r="C100" s="74">
        <v>2017</v>
      </c>
      <c r="D100" s="81">
        <v>21.17</v>
      </c>
      <c r="E100" s="72" t="s">
        <v>1831</v>
      </c>
      <c r="F100" s="76" t="s">
        <v>1832</v>
      </c>
      <c r="G100" s="72" t="s">
        <v>1926</v>
      </c>
      <c r="H100" s="72" t="s">
        <v>1905</v>
      </c>
      <c r="I100" s="72" t="s">
        <v>1935</v>
      </c>
      <c r="J100" s="81">
        <v>16.190000000000001</v>
      </c>
      <c r="K100" s="77"/>
      <c r="L100" s="77"/>
      <c r="M100" s="78" t="s">
        <v>1824</v>
      </c>
      <c r="N100" s="78" t="s">
        <v>1825</v>
      </c>
      <c r="O100" s="78"/>
      <c r="P100" s="80">
        <v>21.17</v>
      </c>
    </row>
    <row r="101" spans="1:16" x14ac:dyDescent="0.3">
      <c r="A101" s="72" t="s">
        <v>455</v>
      </c>
      <c r="B101" s="72" t="s">
        <v>1936</v>
      </c>
      <c r="C101" s="74">
        <v>2017</v>
      </c>
      <c r="D101" s="81">
        <v>25.93</v>
      </c>
      <c r="E101" s="72" t="s">
        <v>1831</v>
      </c>
      <c r="F101" s="76" t="s">
        <v>1832</v>
      </c>
      <c r="G101" s="72" t="s">
        <v>1926</v>
      </c>
      <c r="H101" s="72" t="s">
        <v>1905</v>
      </c>
      <c r="I101" s="72" t="s">
        <v>1937</v>
      </c>
      <c r="J101" s="81">
        <v>16.190000000000001</v>
      </c>
      <c r="K101" s="77"/>
      <c r="L101" s="77"/>
      <c r="M101" s="78" t="s">
        <v>1824</v>
      </c>
      <c r="N101" s="78" t="s">
        <v>1825</v>
      </c>
      <c r="O101" s="78"/>
      <c r="P101" s="80">
        <v>25.93</v>
      </c>
    </row>
    <row r="102" spans="1:16" x14ac:dyDescent="0.3">
      <c r="A102" s="72" t="s">
        <v>465</v>
      </c>
      <c r="B102" s="72" t="s">
        <v>1938</v>
      </c>
      <c r="C102" s="74">
        <v>2017</v>
      </c>
      <c r="D102" s="81">
        <v>38.82</v>
      </c>
      <c r="E102" s="72" t="s">
        <v>1831</v>
      </c>
      <c r="F102" s="76" t="s">
        <v>1832</v>
      </c>
      <c r="G102" s="72" t="s">
        <v>1926</v>
      </c>
      <c r="H102" s="72" t="s">
        <v>1905</v>
      </c>
      <c r="I102" s="72" t="s">
        <v>1939</v>
      </c>
      <c r="J102" s="81">
        <v>16.190000000000001</v>
      </c>
      <c r="K102" s="77"/>
      <c r="L102" s="77"/>
      <c r="M102" s="78" t="s">
        <v>1824</v>
      </c>
      <c r="N102" s="78" t="s">
        <v>1825</v>
      </c>
      <c r="O102" s="78"/>
      <c r="P102" s="80">
        <v>38.82</v>
      </c>
    </row>
    <row r="103" spans="1:16" x14ac:dyDescent="0.3">
      <c r="A103" s="72" t="s">
        <v>488</v>
      </c>
      <c r="B103" s="72" t="s">
        <v>1940</v>
      </c>
      <c r="C103" s="74">
        <v>2017</v>
      </c>
      <c r="D103" s="81">
        <v>21.17</v>
      </c>
      <c r="E103" s="72" t="s">
        <v>1831</v>
      </c>
      <c r="F103" s="76" t="s">
        <v>1832</v>
      </c>
      <c r="G103" s="72" t="s">
        <v>1926</v>
      </c>
      <c r="H103" s="72" t="s">
        <v>1905</v>
      </c>
      <c r="I103" s="72" t="s">
        <v>1941</v>
      </c>
      <c r="J103" s="81">
        <v>16.190000000000001</v>
      </c>
      <c r="K103" s="77"/>
      <c r="L103" s="77"/>
      <c r="M103" s="78" t="s">
        <v>1824</v>
      </c>
      <c r="N103" s="78" t="s">
        <v>1825</v>
      </c>
      <c r="O103" s="78"/>
      <c r="P103" s="80">
        <v>21.17</v>
      </c>
    </row>
    <row r="104" spans="1:16" x14ac:dyDescent="0.3">
      <c r="A104" s="72" t="s">
        <v>508</v>
      </c>
      <c r="B104" s="72" t="s">
        <v>1942</v>
      </c>
      <c r="C104" s="74">
        <v>2017</v>
      </c>
      <c r="D104" s="81">
        <v>25.93</v>
      </c>
      <c r="E104" s="72" t="s">
        <v>1831</v>
      </c>
      <c r="F104" s="76" t="s">
        <v>1832</v>
      </c>
      <c r="G104" s="72" t="s">
        <v>1926</v>
      </c>
      <c r="H104" s="72" t="s">
        <v>1905</v>
      </c>
      <c r="I104" s="72" t="s">
        <v>1943</v>
      </c>
      <c r="J104" s="81">
        <v>16.190000000000001</v>
      </c>
      <c r="K104" s="77"/>
      <c r="L104" s="77"/>
      <c r="M104" s="78" t="s">
        <v>1824</v>
      </c>
      <c r="N104" s="78" t="s">
        <v>1825</v>
      </c>
      <c r="O104" s="78"/>
      <c r="P104" s="80">
        <v>25.93</v>
      </c>
    </row>
    <row r="105" spans="1:16" x14ac:dyDescent="0.3">
      <c r="A105" s="72" t="s">
        <v>544</v>
      </c>
      <c r="B105" s="72" t="s">
        <v>1944</v>
      </c>
      <c r="C105" s="74">
        <v>2017</v>
      </c>
      <c r="D105" s="81">
        <v>38.82</v>
      </c>
      <c r="E105" s="72" t="s">
        <v>1831</v>
      </c>
      <c r="F105" s="76" t="s">
        <v>1832</v>
      </c>
      <c r="G105" s="72" t="s">
        <v>1926</v>
      </c>
      <c r="H105" s="72" t="s">
        <v>1905</v>
      </c>
      <c r="I105" s="72" t="s">
        <v>1945</v>
      </c>
      <c r="J105" s="81">
        <v>16.190000000000001</v>
      </c>
      <c r="K105" s="77"/>
      <c r="L105" s="77"/>
      <c r="M105" s="78" t="s">
        <v>1824</v>
      </c>
      <c r="N105" s="78" t="s">
        <v>1825</v>
      </c>
      <c r="O105" s="78"/>
      <c r="P105" s="80">
        <v>38.82</v>
      </c>
    </row>
    <row r="106" spans="1:16" x14ac:dyDescent="0.3">
      <c r="A106" s="72" t="s">
        <v>514</v>
      </c>
      <c r="B106" s="72" t="s">
        <v>1946</v>
      </c>
      <c r="C106" s="74">
        <v>2017</v>
      </c>
      <c r="D106" s="81">
        <v>21.17</v>
      </c>
      <c r="E106" s="72" t="s">
        <v>1831</v>
      </c>
      <c r="F106" s="76" t="s">
        <v>1832</v>
      </c>
      <c r="G106" s="72" t="s">
        <v>1926</v>
      </c>
      <c r="H106" s="72" t="s">
        <v>1905</v>
      </c>
      <c r="I106" s="72" t="s">
        <v>1947</v>
      </c>
      <c r="J106" s="81">
        <v>16.190000000000001</v>
      </c>
      <c r="K106" s="77"/>
      <c r="L106" s="77"/>
      <c r="M106" s="78" t="s">
        <v>1824</v>
      </c>
      <c r="N106" s="78" t="s">
        <v>1825</v>
      </c>
      <c r="O106" s="78"/>
      <c r="P106" s="80">
        <v>21.17</v>
      </c>
    </row>
    <row r="107" spans="1:16" x14ac:dyDescent="0.3">
      <c r="A107" s="72" t="s">
        <v>552</v>
      </c>
      <c r="B107" s="72" t="s">
        <v>1948</v>
      </c>
      <c r="C107" s="74">
        <v>2017</v>
      </c>
      <c r="D107" s="81">
        <v>25.93</v>
      </c>
      <c r="E107" s="72" t="s">
        <v>1831</v>
      </c>
      <c r="F107" s="76" t="s">
        <v>1832</v>
      </c>
      <c r="G107" s="72" t="s">
        <v>1926</v>
      </c>
      <c r="H107" s="72" t="s">
        <v>1905</v>
      </c>
      <c r="I107" s="72" t="s">
        <v>1949</v>
      </c>
      <c r="J107" s="81">
        <v>16.190000000000001</v>
      </c>
      <c r="K107" s="77"/>
      <c r="L107" s="77"/>
      <c r="M107" s="78" t="s">
        <v>1824</v>
      </c>
      <c r="N107" s="78" t="s">
        <v>1825</v>
      </c>
      <c r="O107" s="78"/>
      <c r="P107" s="80">
        <v>25.93</v>
      </c>
    </row>
    <row r="108" spans="1:16" x14ac:dyDescent="0.3">
      <c r="A108" s="72" t="s">
        <v>558</v>
      </c>
      <c r="B108" s="72" t="s">
        <v>1950</v>
      </c>
      <c r="C108" s="74">
        <v>2017</v>
      </c>
      <c r="D108" s="81">
        <v>38.82</v>
      </c>
      <c r="E108" s="72" t="s">
        <v>1831</v>
      </c>
      <c r="F108" s="76" t="s">
        <v>1832</v>
      </c>
      <c r="G108" s="72" t="s">
        <v>1926</v>
      </c>
      <c r="H108" s="72" t="s">
        <v>1905</v>
      </c>
      <c r="I108" s="72" t="s">
        <v>1951</v>
      </c>
      <c r="J108" s="81">
        <v>16.190000000000001</v>
      </c>
      <c r="K108" s="77"/>
      <c r="L108" s="77"/>
      <c r="M108" s="78" t="s">
        <v>1824</v>
      </c>
      <c r="N108" s="78" t="s">
        <v>1825</v>
      </c>
      <c r="O108" s="78"/>
      <c r="P108" s="80">
        <v>38.82</v>
      </c>
    </row>
    <row r="109" spans="1:16" x14ac:dyDescent="0.3">
      <c r="A109" s="72" t="s">
        <v>446</v>
      </c>
      <c r="B109" s="72" t="s">
        <v>1952</v>
      </c>
      <c r="C109" s="74">
        <v>2017</v>
      </c>
      <c r="D109" s="81">
        <v>6.93</v>
      </c>
      <c r="E109" s="72" t="s">
        <v>1854</v>
      </c>
      <c r="F109" s="76" t="s">
        <v>1855</v>
      </c>
      <c r="G109" s="72" t="s">
        <v>1856</v>
      </c>
      <c r="H109" s="72" t="s">
        <v>1905</v>
      </c>
      <c r="I109" s="72" t="s">
        <v>1893</v>
      </c>
      <c r="J109" s="77" t="s">
        <v>1893</v>
      </c>
      <c r="K109" s="77"/>
      <c r="L109" s="77"/>
      <c r="M109" s="78" t="s">
        <v>1824</v>
      </c>
      <c r="N109" s="78" t="s">
        <v>1825</v>
      </c>
      <c r="O109" s="78" t="s">
        <v>1953</v>
      </c>
      <c r="P109" s="80">
        <v>6.93</v>
      </c>
    </row>
    <row r="110" spans="1:16" x14ac:dyDescent="0.3">
      <c r="A110" s="72" t="s">
        <v>453</v>
      </c>
      <c r="B110" s="72" t="s">
        <v>1954</v>
      </c>
      <c r="C110" s="74">
        <v>2017</v>
      </c>
      <c r="D110" s="81">
        <v>19.97</v>
      </c>
      <c r="E110" s="72" t="s">
        <v>1854</v>
      </c>
      <c r="F110" s="76" t="s">
        <v>1855</v>
      </c>
      <c r="G110" s="72" t="s">
        <v>1856</v>
      </c>
      <c r="H110" s="72" t="s">
        <v>1905</v>
      </c>
      <c r="I110" s="72" t="s">
        <v>1893</v>
      </c>
      <c r="J110" s="77" t="s">
        <v>1893</v>
      </c>
      <c r="K110" s="77"/>
      <c r="L110" s="77"/>
      <c r="M110" s="78" t="s">
        <v>1824</v>
      </c>
      <c r="N110" s="78" t="s">
        <v>1825</v>
      </c>
      <c r="O110" s="78" t="s">
        <v>1953</v>
      </c>
      <c r="P110" s="80">
        <v>19.97</v>
      </c>
    </row>
    <row r="111" spans="1:16" x14ac:dyDescent="0.3">
      <c r="A111" s="72" t="s">
        <v>443</v>
      </c>
      <c r="B111" s="72" t="s">
        <v>1955</v>
      </c>
      <c r="C111" s="74">
        <v>2017</v>
      </c>
      <c r="D111" s="81">
        <v>19.97</v>
      </c>
      <c r="E111" s="72" t="s">
        <v>1854</v>
      </c>
      <c r="F111" s="76" t="s">
        <v>1855</v>
      </c>
      <c r="G111" s="72" t="s">
        <v>1856</v>
      </c>
      <c r="H111" s="72" t="s">
        <v>1905</v>
      </c>
      <c r="I111" s="72" t="s">
        <v>1893</v>
      </c>
      <c r="J111" s="77" t="s">
        <v>1893</v>
      </c>
      <c r="K111" s="77"/>
      <c r="L111" s="77"/>
      <c r="M111" s="78" t="s">
        <v>1824</v>
      </c>
      <c r="N111" s="78" t="s">
        <v>1825</v>
      </c>
      <c r="O111" s="78" t="s">
        <v>1953</v>
      </c>
      <c r="P111" s="80">
        <v>19.97</v>
      </c>
    </row>
    <row r="112" spans="1:16" x14ac:dyDescent="0.3">
      <c r="A112" s="72" t="s">
        <v>2612</v>
      </c>
      <c r="B112" s="72" t="s">
        <v>2613</v>
      </c>
      <c r="C112" s="74">
        <v>2017</v>
      </c>
      <c r="D112" s="97">
        <v>3487.1</v>
      </c>
      <c r="E112" s="72" t="s">
        <v>2614</v>
      </c>
      <c r="F112" s="76" t="s">
        <v>2615</v>
      </c>
      <c r="G112" s="72" t="s">
        <v>2616</v>
      </c>
      <c r="H112" s="72" t="s">
        <v>1905</v>
      </c>
      <c r="I112" s="72"/>
      <c r="J112" s="77"/>
      <c r="K112" s="77"/>
      <c r="L112" s="77"/>
      <c r="M112" s="78" t="s">
        <v>2617</v>
      </c>
      <c r="N112" s="78" t="s">
        <v>2618</v>
      </c>
      <c r="O112" s="78"/>
      <c r="P112" s="80">
        <v>3487.1</v>
      </c>
    </row>
    <row r="113" spans="1:16" x14ac:dyDescent="0.3">
      <c r="A113" s="72" t="s">
        <v>2619</v>
      </c>
      <c r="B113" s="72" t="s">
        <v>2620</v>
      </c>
      <c r="C113" s="74">
        <v>2017</v>
      </c>
      <c r="D113" s="97">
        <v>1743.55</v>
      </c>
      <c r="E113" s="72" t="s">
        <v>2614</v>
      </c>
      <c r="F113" s="76" t="s">
        <v>2615</v>
      </c>
      <c r="G113" s="72" t="s">
        <v>2616</v>
      </c>
      <c r="H113" s="72" t="s">
        <v>1905</v>
      </c>
      <c r="I113" s="72"/>
      <c r="J113" s="77"/>
      <c r="K113" s="77"/>
      <c r="L113" s="77"/>
      <c r="M113" s="78" t="s">
        <v>2617</v>
      </c>
      <c r="N113" s="78" t="s">
        <v>2618</v>
      </c>
      <c r="O113" s="78"/>
      <c r="P113" s="80">
        <v>1743.55</v>
      </c>
    </row>
    <row r="114" spans="1:16" x14ac:dyDescent="0.3">
      <c r="A114" s="94" t="s">
        <v>2598</v>
      </c>
      <c r="B114" s="95" t="s">
        <v>2570</v>
      </c>
      <c r="C114" s="74">
        <v>2017</v>
      </c>
      <c r="D114" s="81">
        <v>1.95</v>
      </c>
      <c r="E114" s="94" t="s">
        <v>1958</v>
      </c>
      <c r="F114" s="96" t="s">
        <v>1959</v>
      </c>
      <c r="G114" s="95" t="s">
        <v>2501</v>
      </c>
      <c r="H114" s="95" t="s">
        <v>1905</v>
      </c>
      <c r="I114" s="78"/>
      <c r="J114" s="78"/>
      <c r="K114" s="78"/>
      <c r="L114" s="78"/>
      <c r="M114" s="78" t="s">
        <v>2571</v>
      </c>
      <c r="N114" s="78"/>
      <c r="O114" s="78"/>
      <c r="P114" s="80" t="e">
        <v>#N/A</v>
      </c>
    </row>
    <row r="115" spans="1:16" x14ac:dyDescent="0.3">
      <c r="A115" s="94" t="s">
        <v>2605</v>
      </c>
      <c r="B115" s="95" t="s">
        <v>2585</v>
      </c>
      <c r="C115" s="74">
        <v>2017</v>
      </c>
      <c r="D115" s="81">
        <v>2.2799999999999998</v>
      </c>
      <c r="E115" s="94" t="s">
        <v>1958</v>
      </c>
      <c r="F115" s="96" t="s">
        <v>1959</v>
      </c>
      <c r="G115" s="95" t="s">
        <v>2501</v>
      </c>
      <c r="H115" s="95" t="s">
        <v>1905</v>
      </c>
      <c r="I115" s="78"/>
      <c r="J115" s="78"/>
      <c r="K115" s="78"/>
      <c r="L115" s="78"/>
      <c r="M115" s="78" t="s">
        <v>2571</v>
      </c>
      <c r="N115" s="78"/>
      <c r="O115" s="78"/>
      <c r="P115" s="80" t="e">
        <v>#N/A</v>
      </c>
    </row>
    <row r="116" spans="1:16" x14ac:dyDescent="0.3">
      <c r="A116" s="94" t="s">
        <v>2599</v>
      </c>
      <c r="B116" s="95" t="s">
        <v>2573</v>
      </c>
      <c r="C116" s="74">
        <v>2017</v>
      </c>
      <c r="D116" s="81">
        <v>2.69</v>
      </c>
      <c r="E116" s="94" t="s">
        <v>1958</v>
      </c>
      <c r="F116" s="96" t="s">
        <v>1959</v>
      </c>
      <c r="G116" s="95" t="s">
        <v>2501</v>
      </c>
      <c r="H116" s="95" t="s">
        <v>1905</v>
      </c>
      <c r="I116" s="78"/>
      <c r="J116" s="78"/>
      <c r="K116" s="78"/>
      <c r="L116" s="78"/>
      <c r="M116" s="78" t="s">
        <v>2571</v>
      </c>
      <c r="N116" s="78"/>
      <c r="O116" s="78"/>
      <c r="P116" s="80" t="e">
        <v>#N/A</v>
      </c>
    </row>
    <row r="117" spans="1:16" x14ac:dyDescent="0.3">
      <c r="A117" s="94" t="s">
        <v>2606</v>
      </c>
      <c r="B117" s="95" t="s">
        <v>2587</v>
      </c>
      <c r="C117" s="74">
        <v>2017</v>
      </c>
      <c r="D117" s="81">
        <v>3.05</v>
      </c>
      <c r="E117" s="94" t="s">
        <v>1958</v>
      </c>
      <c r="F117" s="96" t="s">
        <v>1959</v>
      </c>
      <c r="G117" s="95" t="s">
        <v>2501</v>
      </c>
      <c r="H117" s="95" t="s">
        <v>1905</v>
      </c>
      <c r="I117" s="78"/>
      <c r="J117" s="78"/>
      <c r="K117" s="78"/>
      <c r="L117" s="78"/>
      <c r="M117" s="78" t="s">
        <v>2571</v>
      </c>
      <c r="N117" s="78"/>
      <c r="O117" s="78"/>
      <c r="P117" s="80" t="e">
        <v>#N/A</v>
      </c>
    </row>
    <row r="118" spans="1:16" x14ac:dyDescent="0.3">
      <c r="A118" s="94" t="s">
        <v>2600</v>
      </c>
      <c r="B118" s="95" t="s">
        <v>2575</v>
      </c>
      <c r="C118" s="74">
        <v>2017</v>
      </c>
      <c r="D118" s="81">
        <v>2.69</v>
      </c>
      <c r="E118" s="94" t="s">
        <v>1958</v>
      </c>
      <c r="F118" s="96" t="s">
        <v>1959</v>
      </c>
      <c r="G118" s="95" t="s">
        <v>2501</v>
      </c>
      <c r="H118" s="95" t="s">
        <v>1905</v>
      </c>
      <c r="I118" s="78"/>
      <c r="J118" s="78"/>
      <c r="K118" s="78"/>
      <c r="L118" s="78"/>
      <c r="M118" s="78" t="s">
        <v>2571</v>
      </c>
      <c r="N118" s="78"/>
      <c r="O118" s="78"/>
      <c r="P118" s="80" t="e">
        <v>#N/A</v>
      </c>
    </row>
    <row r="119" spans="1:16" x14ac:dyDescent="0.3">
      <c r="A119" s="94" t="s">
        <v>2607</v>
      </c>
      <c r="B119" s="95" t="s">
        <v>2589</v>
      </c>
      <c r="C119" s="74">
        <v>2017</v>
      </c>
      <c r="D119" s="81">
        <v>3.05</v>
      </c>
      <c r="E119" s="94" t="s">
        <v>1958</v>
      </c>
      <c r="F119" s="96" t="s">
        <v>1959</v>
      </c>
      <c r="G119" s="95" t="s">
        <v>2501</v>
      </c>
      <c r="H119" s="95" t="s">
        <v>1905</v>
      </c>
      <c r="I119" s="72"/>
      <c r="J119" s="77"/>
      <c r="K119" s="77"/>
      <c r="L119" s="77"/>
      <c r="M119" s="78" t="s">
        <v>2571</v>
      </c>
      <c r="N119" s="78"/>
      <c r="O119" s="78"/>
      <c r="P119" s="80" t="e">
        <v>#N/A</v>
      </c>
    </row>
    <row r="120" spans="1:16" x14ac:dyDescent="0.3">
      <c r="A120" s="94" t="s">
        <v>2601</v>
      </c>
      <c r="B120" s="95" t="s">
        <v>2577</v>
      </c>
      <c r="C120" s="74">
        <v>2017</v>
      </c>
      <c r="D120" s="81">
        <v>3.16</v>
      </c>
      <c r="E120" s="94" t="s">
        <v>1958</v>
      </c>
      <c r="F120" s="96" t="s">
        <v>1959</v>
      </c>
      <c r="G120" s="95" t="s">
        <v>2501</v>
      </c>
      <c r="H120" s="95" t="s">
        <v>1905</v>
      </c>
      <c r="I120" s="78"/>
      <c r="J120" s="78"/>
      <c r="K120" s="78"/>
      <c r="L120" s="78"/>
      <c r="M120" s="78" t="s">
        <v>2571</v>
      </c>
      <c r="N120" s="78"/>
      <c r="O120" s="78"/>
      <c r="P120" s="80" t="e">
        <v>#N/A</v>
      </c>
    </row>
    <row r="121" spans="1:16" x14ac:dyDescent="0.3">
      <c r="A121" s="94" t="s">
        <v>2608</v>
      </c>
      <c r="B121" s="95" t="s">
        <v>2591</v>
      </c>
      <c r="C121" s="74">
        <v>2017</v>
      </c>
      <c r="D121" s="81">
        <v>3.64</v>
      </c>
      <c r="E121" s="94" t="s">
        <v>1958</v>
      </c>
      <c r="F121" s="96" t="s">
        <v>1959</v>
      </c>
      <c r="G121" s="95" t="s">
        <v>2501</v>
      </c>
      <c r="H121" s="95" t="s">
        <v>1905</v>
      </c>
      <c r="I121" s="72"/>
      <c r="J121" s="77"/>
      <c r="K121" s="77"/>
      <c r="L121" s="77"/>
      <c r="M121" s="78" t="s">
        <v>2571</v>
      </c>
      <c r="N121" s="78"/>
      <c r="O121" s="78"/>
      <c r="P121" s="80" t="e">
        <v>#N/A</v>
      </c>
    </row>
    <row r="122" spans="1:16" x14ac:dyDescent="0.3">
      <c r="A122" s="94" t="s">
        <v>2602</v>
      </c>
      <c r="B122" s="95" t="s">
        <v>2579</v>
      </c>
      <c r="C122" s="74">
        <v>2017</v>
      </c>
      <c r="D122" s="81">
        <v>3.67</v>
      </c>
      <c r="E122" s="94" t="s">
        <v>1958</v>
      </c>
      <c r="F122" s="96" t="s">
        <v>1959</v>
      </c>
      <c r="G122" s="95" t="s">
        <v>2501</v>
      </c>
      <c r="H122" s="95" t="s">
        <v>1905</v>
      </c>
      <c r="I122" s="78"/>
      <c r="J122" s="78"/>
      <c r="K122" s="78"/>
      <c r="L122" s="78"/>
      <c r="M122" s="78" t="s">
        <v>2571</v>
      </c>
      <c r="N122" s="78"/>
      <c r="O122" s="78"/>
      <c r="P122" s="80" t="e">
        <v>#N/A</v>
      </c>
    </row>
    <row r="123" spans="1:16" x14ac:dyDescent="0.3">
      <c r="A123" s="94" t="s">
        <v>2609</v>
      </c>
      <c r="B123" s="95" t="s">
        <v>2593</v>
      </c>
      <c r="C123" s="74">
        <v>2017</v>
      </c>
      <c r="D123" s="81">
        <v>4.16</v>
      </c>
      <c r="E123" s="94" t="s">
        <v>1958</v>
      </c>
      <c r="F123" s="96" t="s">
        <v>1959</v>
      </c>
      <c r="G123" s="95" t="s">
        <v>2501</v>
      </c>
      <c r="H123" s="95" t="s">
        <v>1905</v>
      </c>
      <c r="I123" s="72"/>
      <c r="J123" s="77"/>
      <c r="K123" s="77"/>
      <c r="L123" s="77"/>
      <c r="M123" s="78" t="s">
        <v>2571</v>
      </c>
      <c r="N123" s="78"/>
      <c r="O123" s="78"/>
      <c r="P123" s="80" t="e">
        <v>#N/A</v>
      </c>
    </row>
    <row r="124" spans="1:16" x14ac:dyDescent="0.3">
      <c r="A124" s="94" t="s">
        <v>2603</v>
      </c>
      <c r="B124" s="95" t="s">
        <v>2581</v>
      </c>
      <c r="C124" s="74">
        <v>2017</v>
      </c>
      <c r="D124" s="81">
        <v>2.62</v>
      </c>
      <c r="E124" s="94" t="s">
        <v>1958</v>
      </c>
      <c r="F124" s="96" t="s">
        <v>1959</v>
      </c>
      <c r="G124" s="95" t="s">
        <v>2501</v>
      </c>
      <c r="H124" s="95" t="s">
        <v>1905</v>
      </c>
      <c r="I124" s="78"/>
      <c r="J124" s="78"/>
      <c r="K124" s="78"/>
      <c r="L124" s="78"/>
      <c r="M124" s="78" t="s">
        <v>2571</v>
      </c>
      <c r="N124" s="78"/>
      <c r="O124" s="78"/>
      <c r="P124" s="80" t="e">
        <v>#N/A</v>
      </c>
    </row>
    <row r="125" spans="1:16" x14ac:dyDescent="0.3">
      <c r="A125" s="94" t="s">
        <v>2610</v>
      </c>
      <c r="B125" s="95" t="s">
        <v>2595</v>
      </c>
      <c r="C125" s="74">
        <v>2017</v>
      </c>
      <c r="D125" s="81">
        <v>3.62</v>
      </c>
      <c r="E125" s="94" t="s">
        <v>1958</v>
      </c>
      <c r="F125" s="96" t="s">
        <v>1959</v>
      </c>
      <c r="G125" s="95" t="s">
        <v>2501</v>
      </c>
      <c r="H125" s="95" t="s">
        <v>1905</v>
      </c>
      <c r="I125" s="72"/>
      <c r="J125" s="77"/>
      <c r="K125" s="77"/>
      <c r="L125" s="77"/>
      <c r="M125" s="78" t="s">
        <v>2571</v>
      </c>
      <c r="N125" s="78"/>
      <c r="O125" s="78"/>
      <c r="P125" s="80" t="e">
        <v>#N/A</v>
      </c>
    </row>
    <row r="126" spans="1:16" x14ac:dyDescent="0.3">
      <c r="A126" s="94" t="s">
        <v>2604</v>
      </c>
      <c r="B126" s="95" t="s">
        <v>2583</v>
      </c>
      <c r="C126" s="74">
        <v>2017</v>
      </c>
      <c r="D126" s="81">
        <v>4</v>
      </c>
      <c r="E126" s="94" t="s">
        <v>1958</v>
      </c>
      <c r="F126" s="96" t="s">
        <v>1959</v>
      </c>
      <c r="G126" s="95" t="s">
        <v>2501</v>
      </c>
      <c r="H126" s="95" t="s">
        <v>1905</v>
      </c>
      <c r="I126" s="78"/>
      <c r="J126" s="78"/>
      <c r="K126" s="78"/>
      <c r="L126" s="78"/>
      <c r="M126" s="78" t="s">
        <v>2571</v>
      </c>
      <c r="N126" s="78"/>
      <c r="O126" s="78"/>
      <c r="P126" s="80" t="e">
        <v>#N/A</v>
      </c>
    </row>
    <row r="127" spans="1:16" x14ac:dyDescent="0.3">
      <c r="A127" s="94" t="s">
        <v>2611</v>
      </c>
      <c r="B127" s="95" t="s">
        <v>2597</v>
      </c>
      <c r="C127" s="74">
        <v>2017</v>
      </c>
      <c r="D127" s="81">
        <v>4.49</v>
      </c>
      <c r="E127" s="94" t="s">
        <v>1958</v>
      </c>
      <c r="F127" s="96" t="s">
        <v>1959</v>
      </c>
      <c r="G127" s="95" t="s">
        <v>2501</v>
      </c>
      <c r="H127" s="95" t="s">
        <v>1905</v>
      </c>
      <c r="I127" s="72"/>
      <c r="J127" s="77"/>
      <c r="K127" s="77"/>
      <c r="L127" s="77"/>
      <c r="M127" s="78" t="s">
        <v>2571</v>
      </c>
      <c r="N127" s="78"/>
      <c r="O127" s="78"/>
      <c r="P127" s="80" t="e">
        <v>#N/A</v>
      </c>
    </row>
    <row r="128" spans="1:16" x14ac:dyDescent="0.3">
      <c r="A128" s="94" t="s">
        <v>2569</v>
      </c>
      <c r="B128" s="95" t="s">
        <v>2570</v>
      </c>
      <c r="C128" s="74">
        <v>2017</v>
      </c>
      <c r="D128" s="81">
        <v>2.0099999999999998</v>
      </c>
      <c r="E128" s="94" t="s">
        <v>1958</v>
      </c>
      <c r="F128" s="96" t="s">
        <v>1959</v>
      </c>
      <c r="G128" s="95" t="s">
        <v>2501</v>
      </c>
      <c r="H128" s="95" t="s">
        <v>1905</v>
      </c>
      <c r="I128" s="72"/>
      <c r="J128" s="77"/>
      <c r="K128" s="77"/>
      <c r="L128" s="77"/>
      <c r="M128" s="78" t="s">
        <v>2571</v>
      </c>
      <c r="N128" s="78"/>
      <c r="O128" s="78"/>
      <c r="P128" s="80" t="e">
        <v>#N/A</v>
      </c>
    </row>
    <row r="129" spans="1:16" x14ac:dyDescent="0.3">
      <c r="A129" s="94" t="s">
        <v>2584</v>
      </c>
      <c r="B129" s="95" t="s">
        <v>2585</v>
      </c>
      <c r="C129" s="74">
        <v>2017</v>
      </c>
      <c r="D129" s="81">
        <v>2.4500000000000002</v>
      </c>
      <c r="E129" s="94" t="s">
        <v>1958</v>
      </c>
      <c r="F129" s="96" t="s">
        <v>1959</v>
      </c>
      <c r="G129" s="95" t="s">
        <v>2501</v>
      </c>
      <c r="H129" s="95" t="s">
        <v>1905</v>
      </c>
      <c r="I129" s="78"/>
      <c r="J129" s="78"/>
      <c r="K129" s="78"/>
      <c r="L129" s="78"/>
      <c r="M129" s="78" t="s">
        <v>2571</v>
      </c>
      <c r="N129" s="78"/>
      <c r="O129" s="78"/>
      <c r="P129" s="80" t="e">
        <v>#N/A</v>
      </c>
    </row>
    <row r="130" spans="1:16" x14ac:dyDescent="0.3">
      <c r="A130" s="94" t="s">
        <v>2572</v>
      </c>
      <c r="B130" s="95" t="s">
        <v>2573</v>
      </c>
      <c r="C130" s="74">
        <v>2017</v>
      </c>
      <c r="D130" s="81">
        <v>2.75</v>
      </c>
      <c r="E130" s="94" t="s">
        <v>1958</v>
      </c>
      <c r="F130" s="96" t="s">
        <v>1959</v>
      </c>
      <c r="G130" s="95" t="s">
        <v>2501</v>
      </c>
      <c r="H130" s="95" t="s">
        <v>1905</v>
      </c>
      <c r="I130" s="72"/>
      <c r="J130" s="77"/>
      <c r="K130" s="77"/>
      <c r="L130" s="77"/>
      <c r="M130" s="78" t="s">
        <v>2571</v>
      </c>
      <c r="N130" s="78"/>
      <c r="O130" s="78"/>
      <c r="P130" s="80" t="e">
        <v>#N/A</v>
      </c>
    </row>
    <row r="131" spans="1:16" x14ac:dyDescent="0.3">
      <c r="A131" s="94" t="s">
        <v>2586</v>
      </c>
      <c r="B131" s="95" t="s">
        <v>2587</v>
      </c>
      <c r="C131" s="74">
        <v>2017</v>
      </c>
      <c r="D131" s="81">
        <v>3.22</v>
      </c>
      <c r="E131" s="94" t="s">
        <v>1958</v>
      </c>
      <c r="F131" s="96" t="s">
        <v>1959</v>
      </c>
      <c r="G131" s="95" t="s">
        <v>2501</v>
      </c>
      <c r="H131" s="95" t="s">
        <v>1905</v>
      </c>
      <c r="I131" s="78"/>
      <c r="J131" s="78"/>
      <c r="K131" s="78"/>
      <c r="L131" s="78"/>
      <c r="M131" s="78" t="s">
        <v>2571</v>
      </c>
      <c r="N131" s="78"/>
      <c r="O131" s="78"/>
      <c r="P131" s="80" t="e">
        <v>#N/A</v>
      </c>
    </row>
    <row r="132" spans="1:16" x14ac:dyDescent="0.3">
      <c r="A132" s="94" t="s">
        <v>2574</v>
      </c>
      <c r="B132" s="95" t="s">
        <v>2575</v>
      </c>
      <c r="C132" s="74">
        <v>2017</v>
      </c>
      <c r="D132" s="81">
        <v>2.76</v>
      </c>
      <c r="E132" s="94" t="s">
        <v>1958</v>
      </c>
      <c r="F132" s="96" t="s">
        <v>1959</v>
      </c>
      <c r="G132" s="95" t="s">
        <v>2501</v>
      </c>
      <c r="H132" s="95" t="s">
        <v>1905</v>
      </c>
      <c r="I132" s="72"/>
      <c r="J132" s="77"/>
      <c r="K132" s="77"/>
      <c r="L132" s="77"/>
      <c r="M132" s="78" t="s">
        <v>2571</v>
      </c>
      <c r="N132" s="78"/>
      <c r="O132" s="78"/>
      <c r="P132" s="80" t="e">
        <v>#N/A</v>
      </c>
    </row>
    <row r="133" spans="1:16" x14ac:dyDescent="0.3">
      <c r="A133" s="94" t="s">
        <v>2588</v>
      </c>
      <c r="B133" s="95" t="s">
        <v>2589</v>
      </c>
      <c r="C133" s="74">
        <v>2017</v>
      </c>
      <c r="D133" s="81">
        <v>3.22</v>
      </c>
      <c r="E133" s="94" t="s">
        <v>1958</v>
      </c>
      <c r="F133" s="96" t="s">
        <v>1959</v>
      </c>
      <c r="G133" s="95" t="s">
        <v>2501</v>
      </c>
      <c r="H133" s="95" t="s">
        <v>1905</v>
      </c>
      <c r="I133" s="78"/>
      <c r="J133" s="78"/>
      <c r="K133" s="78"/>
      <c r="L133" s="78"/>
      <c r="M133" s="78" t="s">
        <v>2571</v>
      </c>
      <c r="N133" s="78"/>
      <c r="O133" s="78"/>
      <c r="P133" s="80" t="e">
        <v>#N/A</v>
      </c>
    </row>
    <row r="134" spans="1:16" x14ac:dyDescent="0.3">
      <c r="A134" s="94" t="s">
        <v>2576</v>
      </c>
      <c r="B134" s="95" t="s">
        <v>2577</v>
      </c>
      <c r="C134" s="74">
        <v>2017</v>
      </c>
      <c r="D134" s="81">
        <v>3.24</v>
      </c>
      <c r="E134" s="94" t="s">
        <v>1958</v>
      </c>
      <c r="F134" s="96" t="s">
        <v>1959</v>
      </c>
      <c r="G134" s="95" t="s">
        <v>2501</v>
      </c>
      <c r="H134" s="95" t="s">
        <v>1905</v>
      </c>
      <c r="I134" s="72"/>
      <c r="J134" s="77"/>
      <c r="K134" s="77"/>
      <c r="L134" s="77"/>
      <c r="M134" s="78" t="s">
        <v>2571</v>
      </c>
      <c r="N134" s="78"/>
      <c r="O134" s="78"/>
      <c r="P134" s="80" t="e">
        <v>#N/A</v>
      </c>
    </row>
    <row r="135" spans="1:16" x14ac:dyDescent="0.3">
      <c r="A135" s="94" t="s">
        <v>2590</v>
      </c>
      <c r="B135" s="95" t="s">
        <v>2591</v>
      </c>
      <c r="C135" s="74">
        <v>2017</v>
      </c>
      <c r="D135" s="81">
        <v>3.84</v>
      </c>
      <c r="E135" s="94" t="s">
        <v>1958</v>
      </c>
      <c r="F135" s="96" t="s">
        <v>1959</v>
      </c>
      <c r="G135" s="95" t="s">
        <v>2501</v>
      </c>
      <c r="H135" s="95" t="s">
        <v>1905</v>
      </c>
      <c r="I135" s="78"/>
      <c r="J135" s="78"/>
      <c r="K135" s="78"/>
      <c r="L135" s="78"/>
      <c r="M135" s="78" t="s">
        <v>2571</v>
      </c>
      <c r="N135" s="78"/>
      <c r="O135" s="78"/>
      <c r="P135" s="80" t="e">
        <v>#N/A</v>
      </c>
    </row>
    <row r="136" spans="1:16" x14ac:dyDescent="0.3">
      <c r="A136" s="94" t="s">
        <v>2578</v>
      </c>
      <c r="B136" s="95" t="s">
        <v>2579</v>
      </c>
      <c r="C136" s="74">
        <v>2017</v>
      </c>
      <c r="D136" s="81">
        <v>3.78</v>
      </c>
      <c r="E136" s="94" t="s">
        <v>1958</v>
      </c>
      <c r="F136" s="96" t="s">
        <v>1959</v>
      </c>
      <c r="G136" s="95" t="s">
        <v>2501</v>
      </c>
      <c r="H136" s="95" t="s">
        <v>1905</v>
      </c>
      <c r="I136" s="78"/>
      <c r="J136" s="78"/>
      <c r="K136" s="78"/>
      <c r="L136" s="78"/>
      <c r="M136" s="78" t="s">
        <v>2571</v>
      </c>
      <c r="N136" s="78"/>
      <c r="O136" s="78"/>
      <c r="P136" s="80" t="e">
        <v>#N/A</v>
      </c>
    </row>
    <row r="137" spans="1:16" x14ac:dyDescent="0.3">
      <c r="A137" s="94" t="s">
        <v>2592</v>
      </c>
      <c r="B137" s="95" t="s">
        <v>2593</v>
      </c>
      <c r="C137" s="74">
        <v>2017</v>
      </c>
      <c r="D137" s="81">
        <v>4.38</v>
      </c>
      <c r="E137" s="94" t="s">
        <v>1958</v>
      </c>
      <c r="F137" s="96" t="s">
        <v>1959</v>
      </c>
      <c r="G137" s="95" t="s">
        <v>2501</v>
      </c>
      <c r="H137" s="95" t="s">
        <v>1905</v>
      </c>
      <c r="I137" s="78"/>
      <c r="J137" s="78"/>
      <c r="K137" s="78"/>
      <c r="L137" s="78"/>
      <c r="M137" s="78" t="s">
        <v>2571</v>
      </c>
      <c r="N137" s="78"/>
      <c r="O137" s="78"/>
      <c r="P137" s="80" t="e">
        <v>#N/A</v>
      </c>
    </row>
    <row r="138" spans="1:16" x14ac:dyDescent="0.3">
      <c r="A138" s="94" t="s">
        <v>2580</v>
      </c>
      <c r="B138" s="95" t="s">
        <v>2581</v>
      </c>
      <c r="C138" s="74">
        <v>2017</v>
      </c>
      <c r="D138" s="81">
        <v>2.68</v>
      </c>
      <c r="E138" s="94" t="s">
        <v>1958</v>
      </c>
      <c r="F138" s="96" t="s">
        <v>1959</v>
      </c>
      <c r="G138" s="95" t="s">
        <v>2501</v>
      </c>
      <c r="H138" s="95" t="s">
        <v>1905</v>
      </c>
      <c r="I138" s="78"/>
      <c r="J138" s="78"/>
      <c r="K138" s="78"/>
      <c r="L138" s="78"/>
      <c r="M138" s="78" t="s">
        <v>2571</v>
      </c>
      <c r="N138" s="78"/>
      <c r="O138" s="78"/>
      <c r="P138" s="80" t="e">
        <v>#N/A</v>
      </c>
    </row>
    <row r="139" spans="1:16" x14ac:dyDescent="0.3">
      <c r="A139" s="94" t="s">
        <v>2594</v>
      </c>
      <c r="B139" s="95" t="s">
        <v>2595</v>
      </c>
      <c r="C139" s="74">
        <v>2017</v>
      </c>
      <c r="D139" s="81">
        <v>3.82</v>
      </c>
      <c r="E139" s="94" t="s">
        <v>1958</v>
      </c>
      <c r="F139" s="96" t="s">
        <v>1959</v>
      </c>
      <c r="G139" s="95" t="s">
        <v>2501</v>
      </c>
      <c r="H139" s="95" t="s">
        <v>1905</v>
      </c>
      <c r="I139" s="78"/>
      <c r="J139" s="78"/>
      <c r="K139" s="78"/>
      <c r="L139" s="78"/>
      <c r="M139" s="78" t="s">
        <v>2571</v>
      </c>
      <c r="N139" s="78"/>
      <c r="O139" s="78"/>
      <c r="P139" s="80" t="e">
        <v>#N/A</v>
      </c>
    </row>
    <row r="140" spans="1:16" x14ac:dyDescent="0.3">
      <c r="A140" s="94" t="s">
        <v>2582</v>
      </c>
      <c r="B140" s="95" t="s">
        <v>2583</v>
      </c>
      <c r="C140" s="74">
        <v>2017</v>
      </c>
      <c r="D140" s="81">
        <v>4.1440000000000001</v>
      </c>
      <c r="E140" s="94" t="s">
        <v>1958</v>
      </c>
      <c r="F140" s="96" t="s">
        <v>1959</v>
      </c>
      <c r="G140" s="95" t="s">
        <v>2501</v>
      </c>
      <c r="H140" s="95" t="s">
        <v>1905</v>
      </c>
      <c r="I140" s="78"/>
      <c r="J140" s="78"/>
      <c r="K140" s="78"/>
      <c r="L140" s="78"/>
      <c r="M140" s="78" t="s">
        <v>2571</v>
      </c>
      <c r="N140" s="78"/>
      <c r="O140" s="78"/>
      <c r="P140" s="80" t="e">
        <v>#N/A</v>
      </c>
    </row>
    <row r="141" spans="1:16" x14ac:dyDescent="0.3">
      <c r="A141" s="94" t="s">
        <v>2596</v>
      </c>
      <c r="B141" s="95" t="s">
        <v>2597</v>
      </c>
      <c r="C141" s="74">
        <v>2017</v>
      </c>
      <c r="D141" s="81">
        <v>4.74</v>
      </c>
      <c r="E141" s="94" t="s">
        <v>1958</v>
      </c>
      <c r="F141" s="96" t="s">
        <v>1959</v>
      </c>
      <c r="G141" s="95" t="s">
        <v>2501</v>
      </c>
      <c r="H141" s="95" t="s">
        <v>1905</v>
      </c>
      <c r="I141" s="78"/>
      <c r="J141" s="78"/>
      <c r="K141" s="78"/>
      <c r="L141" s="78"/>
      <c r="M141" s="78" t="s">
        <v>2571</v>
      </c>
      <c r="N141" s="78"/>
      <c r="O141" s="78"/>
      <c r="P141" s="80" t="e">
        <v>#N/A</v>
      </c>
    </row>
    <row r="142" spans="1:16" x14ac:dyDescent="0.3">
      <c r="A142" s="72" t="s">
        <v>2627</v>
      </c>
      <c r="B142" s="72" t="s">
        <v>2628</v>
      </c>
      <c r="C142" s="98">
        <v>2016</v>
      </c>
      <c r="D142" s="80">
        <v>132.02000000000001</v>
      </c>
      <c r="E142" s="78" t="s">
        <v>1958</v>
      </c>
      <c r="F142" s="76" t="s">
        <v>1959</v>
      </c>
      <c r="G142" s="72" t="s">
        <v>2629</v>
      </c>
      <c r="H142" s="72" t="s">
        <v>2630</v>
      </c>
      <c r="I142" s="72"/>
      <c r="J142" s="78"/>
      <c r="K142" s="78"/>
      <c r="L142" s="78"/>
      <c r="M142" s="78" t="s">
        <v>2631</v>
      </c>
      <c r="N142" s="78" t="s">
        <v>2632</v>
      </c>
      <c r="O142" s="99" t="s">
        <v>1953</v>
      </c>
      <c r="P142" s="80">
        <v>132.02000000000001</v>
      </c>
    </row>
    <row r="143" spans="1:16" x14ac:dyDescent="0.3">
      <c r="A143" s="72" t="s">
        <v>2633</v>
      </c>
      <c r="B143" s="72" t="s">
        <v>2634</v>
      </c>
      <c r="C143" s="98">
        <v>2016</v>
      </c>
      <c r="D143" s="80">
        <v>213.94</v>
      </c>
      <c r="E143" s="78" t="s">
        <v>1958</v>
      </c>
      <c r="F143" s="76" t="s">
        <v>1959</v>
      </c>
      <c r="G143" s="72" t="s">
        <v>2629</v>
      </c>
      <c r="H143" s="72" t="s">
        <v>2630</v>
      </c>
      <c r="I143" s="72"/>
      <c r="J143" s="78"/>
      <c r="K143" s="78"/>
      <c r="L143" s="78"/>
      <c r="M143" s="78" t="s">
        <v>2631</v>
      </c>
      <c r="N143" s="78" t="s">
        <v>2632</v>
      </c>
      <c r="O143" s="99" t="s">
        <v>1953</v>
      </c>
      <c r="P143" s="80">
        <v>213.94</v>
      </c>
    </row>
    <row r="144" spans="1:16" x14ac:dyDescent="0.3">
      <c r="A144" s="72" t="s">
        <v>2635</v>
      </c>
      <c r="B144" s="72" t="s">
        <v>2636</v>
      </c>
      <c r="C144" s="98">
        <v>2016</v>
      </c>
      <c r="D144" s="80">
        <v>305.10000000000002</v>
      </c>
      <c r="E144" s="78" t="s">
        <v>1958</v>
      </c>
      <c r="F144" s="76" t="s">
        <v>1959</v>
      </c>
      <c r="G144" s="72" t="s">
        <v>2629</v>
      </c>
      <c r="H144" s="72" t="s">
        <v>2630</v>
      </c>
      <c r="I144" s="72"/>
      <c r="J144" s="78"/>
      <c r="K144" s="78"/>
      <c r="L144" s="78"/>
      <c r="M144" s="78" t="s">
        <v>2631</v>
      </c>
      <c r="N144" s="78" t="s">
        <v>2632</v>
      </c>
      <c r="O144" s="99" t="s">
        <v>1953</v>
      </c>
      <c r="P144" s="80">
        <v>305.10000000000002</v>
      </c>
    </row>
    <row r="145" spans="1:16" x14ac:dyDescent="0.3">
      <c r="A145" s="72" t="s">
        <v>245</v>
      </c>
      <c r="B145" s="72" t="s">
        <v>1149</v>
      </c>
      <c r="C145" s="74">
        <v>2017</v>
      </c>
      <c r="D145" s="81">
        <v>66.040000000000006</v>
      </c>
      <c r="E145" s="72" t="s">
        <v>1958</v>
      </c>
      <c r="F145" s="76" t="s">
        <v>1959</v>
      </c>
      <c r="G145" s="72" t="s">
        <v>47</v>
      </c>
      <c r="H145" s="72" t="s">
        <v>1905</v>
      </c>
      <c r="I145" s="72" t="s">
        <v>1893</v>
      </c>
      <c r="J145" s="77" t="s">
        <v>1893</v>
      </c>
      <c r="K145" s="77"/>
      <c r="L145" s="77"/>
      <c r="M145" s="78" t="s">
        <v>1824</v>
      </c>
      <c r="N145" s="78" t="s">
        <v>1825</v>
      </c>
      <c r="O145" s="78"/>
      <c r="P145" s="80">
        <v>66.040000000000006</v>
      </c>
    </row>
    <row r="146" spans="1:16" x14ac:dyDescent="0.3">
      <c r="A146" s="72" t="s">
        <v>136</v>
      </c>
      <c r="B146" s="72" t="s">
        <v>1150</v>
      </c>
      <c r="C146" s="74">
        <v>2017</v>
      </c>
      <c r="D146" s="81">
        <v>83.9</v>
      </c>
      <c r="E146" s="72" t="s">
        <v>1958</v>
      </c>
      <c r="F146" s="76" t="s">
        <v>1959</v>
      </c>
      <c r="G146" s="72" t="s">
        <v>47</v>
      </c>
      <c r="H146" s="72" t="s">
        <v>1905</v>
      </c>
      <c r="I146" s="72" t="s">
        <v>1893</v>
      </c>
      <c r="J146" s="77" t="s">
        <v>1893</v>
      </c>
      <c r="K146" s="77"/>
      <c r="L146" s="77"/>
      <c r="M146" s="78" t="s">
        <v>1824</v>
      </c>
      <c r="N146" s="78" t="s">
        <v>1825</v>
      </c>
      <c r="O146" s="78"/>
      <c r="P146" s="80">
        <v>83.9</v>
      </c>
    </row>
    <row r="147" spans="1:16" x14ac:dyDescent="0.3">
      <c r="A147" s="72" t="s">
        <v>210</v>
      </c>
      <c r="B147" s="72" t="s">
        <v>700</v>
      </c>
      <c r="C147" s="74">
        <v>2017</v>
      </c>
      <c r="D147" s="81">
        <v>101.16</v>
      </c>
      <c r="E147" s="72" t="s">
        <v>1958</v>
      </c>
      <c r="F147" s="76" t="s">
        <v>1959</v>
      </c>
      <c r="G147" s="72" t="s">
        <v>47</v>
      </c>
      <c r="H147" s="72" t="s">
        <v>1905</v>
      </c>
      <c r="I147" s="72" t="s">
        <v>1893</v>
      </c>
      <c r="J147" s="77" t="s">
        <v>1893</v>
      </c>
      <c r="K147" s="77"/>
      <c r="L147" s="77"/>
      <c r="M147" s="78" t="s">
        <v>1824</v>
      </c>
      <c r="N147" s="78" t="s">
        <v>1825</v>
      </c>
      <c r="O147" s="78"/>
      <c r="P147" s="80">
        <v>101.16</v>
      </c>
    </row>
    <row r="148" spans="1:16" x14ac:dyDescent="0.3">
      <c r="A148" s="72" t="s">
        <v>291</v>
      </c>
      <c r="B148" s="72" t="s">
        <v>701</v>
      </c>
      <c r="C148" s="74">
        <v>2017</v>
      </c>
      <c r="D148" s="81">
        <v>121.02</v>
      </c>
      <c r="E148" s="72" t="s">
        <v>1958</v>
      </c>
      <c r="F148" s="76" t="s">
        <v>1959</v>
      </c>
      <c r="G148" s="72" t="s">
        <v>47</v>
      </c>
      <c r="H148" s="72" t="s">
        <v>1905</v>
      </c>
      <c r="I148" s="72" t="s">
        <v>1893</v>
      </c>
      <c r="J148" s="77" t="s">
        <v>1893</v>
      </c>
      <c r="K148" s="77"/>
      <c r="L148" s="77"/>
      <c r="M148" s="78" t="s">
        <v>1824</v>
      </c>
      <c r="N148" s="78" t="s">
        <v>1825</v>
      </c>
      <c r="O148" s="78"/>
      <c r="P148" s="80">
        <v>121.02</v>
      </c>
    </row>
    <row r="149" spans="1:16" x14ac:dyDescent="0.3">
      <c r="A149" s="72" t="s">
        <v>54</v>
      </c>
      <c r="B149" s="72" t="s">
        <v>702</v>
      </c>
      <c r="C149" s="74">
        <v>2017</v>
      </c>
      <c r="D149" s="81">
        <v>115.32</v>
      </c>
      <c r="E149" s="72" t="s">
        <v>1958</v>
      </c>
      <c r="F149" s="76" t="s">
        <v>1959</v>
      </c>
      <c r="G149" s="72" t="s">
        <v>47</v>
      </c>
      <c r="H149" s="72" t="s">
        <v>1905</v>
      </c>
      <c r="I149" s="72" t="s">
        <v>1893</v>
      </c>
      <c r="J149" s="77" t="s">
        <v>1893</v>
      </c>
      <c r="K149" s="77"/>
      <c r="L149" s="77"/>
      <c r="M149" s="78" t="s">
        <v>1824</v>
      </c>
      <c r="N149" s="78" t="s">
        <v>1825</v>
      </c>
      <c r="O149" s="78"/>
      <c r="P149" s="80">
        <v>115.32</v>
      </c>
    </row>
    <row r="150" spans="1:16" x14ac:dyDescent="0.3">
      <c r="A150" s="72" t="s">
        <v>167</v>
      </c>
      <c r="B150" s="72" t="s">
        <v>703</v>
      </c>
      <c r="C150" s="74">
        <v>2017</v>
      </c>
      <c r="D150" s="81">
        <v>135.18</v>
      </c>
      <c r="E150" s="72" t="s">
        <v>1958</v>
      </c>
      <c r="F150" s="76" t="s">
        <v>1959</v>
      </c>
      <c r="G150" s="72" t="s">
        <v>47</v>
      </c>
      <c r="H150" s="72" t="s">
        <v>1905</v>
      </c>
      <c r="I150" s="72" t="s">
        <v>1893</v>
      </c>
      <c r="J150" s="77" t="s">
        <v>1893</v>
      </c>
      <c r="K150" s="77"/>
      <c r="L150" s="77"/>
      <c r="M150" s="78" t="s">
        <v>1824</v>
      </c>
      <c r="N150" s="78" t="s">
        <v>1825</v>
      </c>
      <c r="O150" s="78"/>
      <c r="P150" s="80">
        <v>135.18</v>
      </c>
    </row>
    <row r="151" spans="1:16" x14ac:dyDescent="0.3">
      <c r="A151" s="72" t="s">
        <v>107</v>
      </c>
      <c r="B151" s="72" t="s">
        <v>704</v>
      </c>
      <c r="C151" s="74">
        <v>2017</v>
      </c>
      <c r="D151" s="81">
        <v>159.13</v>
      </c>
      <c r="E151" s="72" t="s">
        <v>1958</v>
      </c>
      <c r="F151" s="76" t="s">
        <v>1959</v>
      </c>
      <c r="G151" s="72" t="s">
        <v>47</v>
      </c>
      <c r="H151" s="72" t="s">
        <v>1905</v>
      </c>
      <c r="I151" s="72" t="s">
        <v>1893</v>
      </c>
      <c r="J151" s="77" t="s">
        <v>1893</v>
      </c>
      <c r="K151" s="77"/>
      <c r="L151" s="77"/>
      <c r="M151" s="78" t="s">
        <v>1824</v>
      </c>
      <c r="N151" s="78" t="s">
        <v>1825</v>
      </c>
      <c r="O151" s="78"/>
      <c r="P151" s="80">
        <v>159.13</v>
      </c>
    </row>
    <row r="152" spans="1:16" x14ac:dyDescent="0.3">
      <c r="A152" s="72" t="s">
        <v>378</v>
      </c>
      <c r="B152" s="72" t="s">
        <v>705</v>
      </c>
      <c r="C152" s="74">
        <v>2017</v>
      </c>
      <c r="D152" s="81">
        <v>180.53</v>
      </c>
      <c r="E152" s="72" t="s">
        <v>1958</v>
      </c>
      <c r="F152" s="76" t="s">
        <v>1959</v>
      </c>
      <c r="G152" s="72" t="s">
        <v>47</v>
      </c>
      <c r="H152" s="72" t="s">
        <v>1905</v>
      </c>
      <c r="I152" s="72" t="s">
        <v>1893</v>
      </c>
      <c r="J152" s="77" t="s">
        <v>1893</v>
      </c>
      <c r="K152" s="77"/>
      <c r="L152" s="77"/>
      <c r="M152" s="78" t="s">
        <v>1824</v>
      </c>
      <c r="N152" s="78" t="s">
        <v>1825</v>
      </c>
      <c r="O152" s="78"/>
      <c r="P152" s="80">
        <v>180.53</v>
      </c>
    </row>
    <row r="153" spans="1:16" x14ac:dyDescent="0.3">
      <c r="A153" s="72" t="s">
        <v>263</v>
      </c>
      <c r="B153" s="72" t="s">
        <v>706</v>
      </c>
      <c r="C153" s="74">
        <v>2017</v>
      </c>
      <c r="D153" s="81">
        <v>159.11000000000001</v>
      </c>
      <c r="E153" s="72" t="s">
        <v>1958</v>
      </c>
      <c r="F153" s="76" t="s">
        <v>1959</v>
      </c>
      <c r="G153" s="72" t="s">
        <v>47</v>
      </c>
      <c r="H153" s="72" t="s">
        <v>1905</v>
      </c>
      <c r="I153" s="72" t="s">
        <v>1893</v>
      </c>
      <c r="J153" s="77" t="s">
        <v>1893</v>
      </c>
      <c r="K153" s="77"/>
      <c r="L153" s="77"/>
      <c r="M153" s="78" t="s">
        <v>1824</v>
      </c>
      <c r="N153" s="78" t="s">
        <v>1825</v>
      </c>
      <c r="O153" s="78"/>
      <c r="P153" s="80">
        <v>159.11000000000001</v>
      </c>
    </row>
    <row r="154" spans="1:16" x14ac:dyDescent="0.3">
      <c r="A154" s="72" t="s">
        <v>340</v>
      </c>
      <c r="B154" s="72" t="s">
        <v>707</v>
      </c>
      <c r="C154" s="74">
        <v>2017</v>
      </c>
      <c r="D154" s="81">
        <v>180.5</v>
      </c>
      <c r="E154" s="72" t="s">
        <v>1958</v>
      </c>
      <c r="F154" s="76" t="s">
        <v>1959</v>
      </c>
      <c r="G154" s="72" t="s">
        <v>47</v>
      </c>
      <c r="H154" s="72" t="s">
        <v>1905</v>
      </c>
      <c r="I154" s="72" t="s">
        <v>1893</v>
      </c>
      <c r="J154" s="77" t="s">
        <v>1893</v>
      </c>
      <c r="K154" s="77"/>
      <c r="L154" s="77"/>
      <c r="M154" s="78" t="s">
        <v>1824</v>
      </c>
      <c r="N154" s="78" t="s">
        <v>1825</v>
      </c>
      <c r="O154" s="78"/>
      <c r="P154" s="80">
        <v>180.5</v>
      </c>
    </row>
    <row r="155" spans="1:16" x14ac:dyDescent="0.3">
      <c r="A155" s="72" t="s">
        <v>386</v>
      </c>
      <c r="B155" s="72" t="s">
        <v>708</v>
      </c>
      <c r="C155" s="74">
        <v>2017</v>
      </c>
      <c r="D155" s="81">
        <v>186.8</v>
      </c>
      <c r="E155" s="72" t="s">
        <v>1958</v>
      </c>
      <c r="F155" s="76" t="s">
        <v>1959</v>
      </c>
      <c r="G155" s="72" t="s">
        <v>47</v>
      </c>
      <c r="H155" s="72" t="s">
        <v>1905</v>
      </c>
      <c r="I155" s="72" t="s">
        <v>1893</v>
      </c>
      <c r="J155" s="77" t="s">
        <v>1893</v>
      </c>
      <c r="K155" s="77"/>
      <c r="L155" s="77"/>
      <c r="M155" s="78" t="s">
        <v>1824</v>
      </c>
      <c r="N155" s="78" t="s">
        <v>1825</v>
      </c>
      <c r="O155" s="78"/>
      <c r="P155" s="80">
        <v>186.8</v>
      </c>
    </row>
    <row r="156" spans="1:16" x14ac:dyDescent="0.3">
      <c r="A156" s="72" t="s">
        <v>268</v>
      </c>
      <c r="B156" s="72" t="s">
        <v>709</v>
      </c>
      <c r="C156" s="74">
        <v>2017</v>
      </c>
      <c r="D156" s="81">
        <v>215.76</v>
      </c>
      <c r="E156" s="72" t="s">
        <v>1958</v>
      </c>
      <c r="F156" s="76" t="s">
        <v>1959</v>
      </c>
      <c r="G156" s="72" t="s">
        <v>47</v>
      </c>
      <c r="H156" s="72" t="s">
        <v>1905</v>
      </c>
      <c r="I156" s="72" t="s">
        <v>1893</v>
      </c>
      <c r="J156" s="77" t="s">
        <v>1893</v>
      </c>
      <c r="K156" s="77"/>
      <c r="L156" s="77"/>
      <c r="M156" s="78" t="s">
        <v>1824</v>
      </c>
      <c r="N156" s="78" t="s">
        <v>1825</v>
      </c>
      <c r="O156" s="78"/>
      <c r="P156" s="80">
        <v>215.76</v>
      </c>
    </row>
    <row r="157" spans="1:16" x14ac:dyDescent="0.3">
      <c r="A157" s="72" t="s">
        <v>306</v>
      </c>
      <c r="B157" s="72" t="s">
        <v>712</v>
      </c>
      <c r="C157" s="74">
        <v>2017</v>
      </c>
      <c r="D157" s="81">
        <v>217.03</v>
      </c>
      <c r="E157" s="72" t="s">
        <v>1958</v>
      </c>
      <c r="F157" s="76" t="s">
        <v>1959</v>
      </c>
      <c r="G157" s="72" t="s">
        <v>47</v>
      </c>
      <c r="H157" s="72" t="s">
        <v>1905</v>
      </c>
      <c r="I157" s="72" t="s">
        <v>1893</v>
      </c>
      <c r="J157" s="77" t="s">
        <v>1893</v>
      </c>
      <c r="K157" s="77"/>
      <c r="L157" s="77"/>
      <c r="M157" s="78" t="s">
        <v>1824</v>
      </c>
      <c r="N157" s="78" t="s">
        <v>1825</v>
      </c>
      <c r="O157" s="78"/>
      <c r="P157" s="80">
        <v>217.03</v>
      </c>
    </row>
    <row r="158" spans="1:16" x14ac:dyDescent="0.3">
      <c r="A158" s="72" t="s">
        <v>197</v>
      </c>
      <c r="B158" s="72" t="s">
        <v>713</v>
      </c>
      <c r="C158" s="74">
        <v>2017</v>
      </c>
      <c r="D158" s="81">
        <v>246.01</v>
      </c>
      <c r="E158" s="72" t="s">
        <v>1958</v>
      </c>
      <c r="F158" s="76" t="s">
        <v>1959</v>
      </c>
      <c r="G158" s="72" t="s">
        <v>47</v>
      </c>
      <c r="H158" s="72" t="s">
        <v>1905</v>
      </c>
      <c r="I158" s="72" t="s">
        <v>1893</v>
      </c>
      <c r="J158" s="77" t="s">
        <v>1893</v>
      </c>
      <c r="K158" s="77"/>
      <c r="L158" s="77"/>
      <c r="M158" s="78" t="s">
        <v>1824</v>
      </c>
      <c r="N158" s="78" t="s">
        <v>1825</v>
      </c>
      <c r="O158" s="78"/>
      <c r="P158" s="80">
        <v>246.01</v>
      </c>
    </row>
    <row r="159" spans="1:16" x14ac:dyDescent="0.3">
      <c r="A159" s="72" t="s">
        <v>574</v>
      </c>
      <c r="B159" s="72" t="s">
        <v>716</v>
      </c>
      <c r="C159" s="74">
        <v>2017</v>
      </c>
      <c r="D159" s="81">
        <v>154.94999999999999</v>
      </c>
      <c r="E159" s="72" t="s">
        <v>1958</v>
      </c>
      <c r="F159" s="76" t="s">
        <v>1959</v>
      </c>
      <c r="G159" s="72" t="s">
        <v>47</v>
      </c>
      <c r="H159" s="72" t="s">
        <v>1905</v>
      </c>
      <c r="I159" s="72" t="s">
        <v>1893</v>
      </c>
      <c r="J159" s="77" t="s">
        <v>1893</v>
      </c>
      <c r="K159" s="77"/>
      <c r="L159" s="77"/>
      <c r="M159" s="78" t="s">
        <v>1824</v>
      </c>
      <c r="N159" s="78" t="s">
        <v>1825</v>
      </c>
      <c r="O159" s="78"/>
      <c r="P159" s="80">
        <v>154.94999999999999</v>
      </c>
    </row>
    <row r="160" spans="1:16" x14ac:dyDescent="0.3">
      <c r="A160" s="72" t="s">
        <v>576</v>
      </c>
      <c r="B160" s="72" t="s">
        <v>717</v>
      </c>
      <c r="C160" s="74">
        <v>2017</v>
      </c>
      <c r="D160" s="81">
        <v>214.29</v>
      </c>
      <c r="E160" s="72" t="s">
        <v>1958</v>
      </c>
      <c r="F160" s="76" t="s">
        <v>1959</v>
      </c>
      <c r="G160" s="72" t="s">
        <v>47</v>
      </c>
      <c r="H160" s="72" t="s">
        <v>1905</v>
      </c>
      <c r="I160" s="72" t="s">
        <v>1893</v>
      </c>
      <c r="J160" s="77" t="s">
        <v>1893</v>
      </c>
      <c r="K160" s="77"/>
      <c r="L160" s="77"/>
      <c r="M160" s="78" t="s">
        <v>1824</v>
      </c>
      <c r="N160" s="78" t="s">
        <v>1825</v>
      </c>
      <c r="O160" s="78"/>
      <c r="P160" s="80">
        <v>214.29</v>
      </c>
    </row>
    <row r="161" spans="1:16" x14ac:dyDescent="0.3">
      <c r="A161" s="72" t="s">
        <v>93</v>
      </c>
      <c r="B161" s="72" t="s">
        <v>720</v>
      </c>
      <c r="C161" s="74">
        <v>2017</v>
      </c>
      <c r="D161" s="81">
        <v>237.06</v>
      </c>
      <c r="E161" s="72" t="s">
        <v>1958</v>
      </c>
      <c r="F161" s="76" t="s">
        <v>1959</v>
      </c>
      <c r="G161" s="72" t="s">
        <v>47</v>
      </c>
      <c r="H161" s="72" t="s">
        <v>1905</v>
      </c>
      <c r="I161" s="72" t="s">
        <v>1893</v>
      </c>
      <c r="J161" s="77" t="s">
        <v>1893</v>
      </c>
      <c r="K161" s="77"/>
      <c r="L161" s="77"/>
      <c r="M161" s="78" t="s">
        <v>1824</v>
      </c>
      <c r="N161" s="78" t="s">
        <v>1825</v>
      </c>
      <c r="O161" s="78"/>
      <c r="P161" s="80">
        <v>237.06</v>
      </c>
    </row>
    <row r="162" spans="1:16" x14ac:dyDescent="0.3">
      <c r="A162" s="72" t="s">
        <v>188</v>
      </c>
      <c r="B162" s="72" t="s">
        <v>721</v>
      </c>
      <c r="C162" s="74">
        <v>2017</v>
      </c>
      <c r="D162" s="81">
        <v>266.04000000000002</v>
      </c>
      <c r="E162" s="72" t="s">
        <v>1958</v>
      </c>
      <c r="F162" s="76" t="s">
        <v>1959</v>
      </c>
      <c r="G162" s="72" t="s">
        <v>47</v>
      </c>
      <c r="H162" s="72" t="s">
        <v>1905</v>
      </c>
      <c r="I162" s="72" t="s">
        <v>1893</v>
      </c>
      <c r="J162" s="77" t="s">
        <v>1893</v>
      </c>
      <c r="K162" s="77"/>
      <c r="L162" s="77"/>
      <c r="M162" s="78" t="s">
        <v>1824</v>
      </c>
      <c r="N162" s="78" t="s">
        <v>1825</v>
      </c>
      <c r="O162" s="78"/>
      <c r="P162" s="80">
        <v>266.04000000000002</v>
      </c>
    </row>
    <row r="163" spans="1:16" x14ac:dyDescent="0.3">
      <c r="A163" s="72" t="s">
        <v>158</v>
      </c>
      <c r="B163" s="72" t="s">
        <v>736</v>
      </c>
      <c r="C163" s="74">
        <v>2017</v>
      </c>
      <c r="D163" s="81">
        <v>65.430000000000007</v>
      </c>
      <c r="E163" s="72" t="s">
        <v>1958</v>
      </c>
      <c r="F163" s="76" t="s">
        <v>1959</v>
      </c>
      <c r="G163" s="72" t="s">
        <v>47</v>
      </c>
      <c r="H163" s="72" t="s">
        <v>1905</v>
      </c>
      <c r="I163" s="72" t="s">
        <v>1893</v>
      </c>
      <c r="J163" s="77" t="s">
        <v>1893</v>
      </c>
      <c r="K163" s="77"/>
      <c r="L163" s="77"/>
      <c r="M163" s="78" t="s">
        <v>1824</v>
      </c>
      <c r="N163" s="78" t="s">
        <v>1825</v>
      </c>
      <c r="O163" s="78"/>
      <c r="P163" s="80">
        <v>65.430000000000007</v>
      </c>
    </row>
    <row r="164" spans="1:16" x14ac:dyDescent="0.3">
      <c r="A164" s="72" t="s">
        <v>79</v>
      </c>
      <c r="B164" s="72" t="s">
        <v>737</v>
      </c>
      <c r="C164" s="74">
        <v>2017</v>
      </c>
      <c r="D164" s="81">
        <v>101.96</v>
      </c>
      <c r="E164" s="72" t="s">
        <v>1958</v>
      </c>
      <c r="F164" s="76" t="s">
        <v>1959</v>
      </c>
      <c r="G164" s="72" t="s">
        <v>47</v>
      </c>
      <c r="H164" s="72" t="s">
        <v>1905</v>
      </c>
      <c r="I164" s="72" t="s">
        <v>1893</v>
      </c>
      <c r="J164" s="77" t="s">
        <v>1893</v>
      </c>
      <c r="K164" s="77"/>
      <c r="L164" s="77"/>
      <c r="M164" s="78" t="s">
        <v>1824</v>
      </c>
      <c r="N164" s="78" t="s">
        <v>1825</v>
      </c>
      <c r="O164" s="78"/>
      <c r="P164" s="80">
        <v>101.96</v>
      </c>
    </row>
    <row r="165" spans="1:16" x14ac:dyDescent="0.3">
      <c r="A165" s="72" t="s">
        <v>252</v>
      </c>
      <c r="B165" s="72" t="s">
        <v>740</v>
      </c>
      <c r="C165" s="74">
        <v>2017</v>
      </c>
      <c r="D165" s="81">
        <v>82.01</v>
      </c>
      <c r="E165" s="72" t="s">
        <v>1958</v>
      </c>
      <c r="F165" s="76" t="s">
        <v>1959</v>
      </c>
      <c r="G165" s="72" t="s">
        <v>47</v>
      </c>
      <c r="H165" s="72" t="s">
        <v>1905</v>
      </c>
      <c r="I165" s="72" t="s">
        <v>1893</v>
      </c>
      <c r="J165" s="77" t="s">
        <v>1893</v>
      </c>
      <c r="K165" s="77"/>
      <c r="L165" s="77"/>
      <c r="M165" s="78" t="s">
        <v>1824</v>
      </c>
      <c r="N165" s="78" t="s">
        <v>1825</v>
      </c>
      <c r="O165" s="78"/>
      <c r="P165" s="80">
        <v>82.01</v>
      </c>
    </row>
    <row r="166" spans="1:16" x14ac:dyDescent="0.3">
      <c r="A166" s="72" t="s">
        <v>177</v>
      </c>
      <c r="B166" s="72" t="s">
        <v>741</v>
      </c>
      <c r="C166" s="74">
        <v>2017</v>
      </c>
      <c r="D166" s="81">
        <v>118.54</v>
      </c>
      <c r="E166" s="72" t="s">
        <v>1958</v>
      </c>
      <c r="F166" s="76" t="s">
        <v>1959</v>
      </c>
      <c r="G166" s="72" t="s">
        <v>47</v>
      </c>
      <c r="H166" s="72" t="s">
        <v>1905</v>
      </c>
      <c r="I166" s="72" t="s">
        <v>1893</v>
      </c>
      <c r="J166" s="77" t="s">
        <v>1893</v>
      </c>
      <c r="K166" s="77"/>
      <c r="L166" s="77"/>
      <c r="M166" s="78" t="s">
        <v>1824</v>
      </c>
      <c r="N166" s="78" t="s">
        <v>1825</v>
      </c>
      <c r="O166" s="78"/>
      <c r="P166" s="80">
        <v>118.54</v>
      </c>
    </row>
    <row r="167" spans="1:16" x14ac:dyDescent="0.3">
      <c r="A167" s="72" t="s">
        <v>220</v>
      </c>
      <c r="B167" s="72" t="s">
        <v>756</v>
      </c>
      <c r="C167" s="74">
        <v>2017</v>
      </c>
      <c r="D167" s="81">
        <v>96.03</v>
      </c>
      <c r="E167" s="72" t="s">
        <v>1958</v>
      </c>
      <c r="F167" s="76" t="s">
        <v>1959</v>
      </c>
      <c r="G167" s="72" t="s">
        <v>47</v>
      </c>
      <c r="H167" s="72" t="s">
        <v>1905</v>
      </c>
      <c r="I167" s="72" t="s">
        <v>1893</v>
      </c>
      <c r="J167" s="77" t="s">
        <v>1893</v>
      </c>
      <c r="K167" s="77"/>
      <c r="L167" s="77"/>
      <c r="M167" s="78" t="s">
        <v>1824</v>
      </c>
      <c r="N167" s="78" t="s">
        <v>1825</v>
      </c>
      <c r="O167" s="78"/>
      <c r="P167" s="80">
        <v>96.03</v>
      </c>
    </row>
    <row r="168" spans="1:16" x14ac:dyDescent="0.3">
      <c r="A168" s="72" t="s">
        <v>266</v>
      </c>
      <c r="B168" s="72" t="s">
        <v>757</v>
      </c>
      <c r="C168" s="74">
        <v>2017</v>
      </c>
      <c r="D168" s="81">
        <v>132.58000000000001</v>
      </c>
      <c r="E168" s="72" t="s">
        <v>1958</v>
      </c>
      <c r="F168" s="76" t="s">
        <v>1959</v>
      </c>
      <c r="G168" s="72" t="s">
        <v>47</v>
      </c>
      <c r="H168" s="72" t="s">
        <v>1905</v>
      </c>
      <c r="I168" s="72" t="s">
        <v>1893</v>
      </c>
      <c r="J168" s="77" t="s">
        <v>1893</v>
      </c>
      <c r="K168" s="77"/>
      <c r="L168" s="77"/>
      <c r="M168" s="78" t="s">
        <v>1824</v>
      </c>
      <c r="N168" s="78" t="s">
        <v>1825</v>
      </c>
      <c r="O168" s="78"/>
      <c r="P168" s="80">
        <v>132.58000000000001</v>
      </c>
    </row>
    <row r="169" spans="1:16" x14ac:dyDescent="0.3">
      <c r="A169" s="72" t="s">
        <v>235</v>
      </c>
      <c r="B169" s="72" t="s">
        <v>758</v>
      </c>
      <c r="C169" s="74">
        <v>2017</v>
      </c>
      <c r="D169" s="81">
        <v>105.08</v>
      </c>
      <c r="E169" s="72" t="s">
        <v>1958</v>
      </c>
      <c r="F169" s="76" t="s">
        <v>1959</v>
      </c>
      <c r="G169" s="72" t="s">
        <v>47</v>
      </c>
      <c r="H169" s="72" t="s">
        <v>1905</v>
      </c>
      <c r="I169" s="72" t="s">
        <v>1893</v>
      </c>
      <c r="J169" s="77" t="s">
        <v>1893</v>
      </c>
      <c r="K169" s="77"/>
      <c r="L169" s="77"/>
      <c r="M169" s="78" t="s">
        <v>1824</v>
      </c>
      <c r="N169" s="78" t="s">
        <v>1825</v>
      </c>
      <c r="O169" s="78"/>
      <c r="P169" s="80">
        <v>105.08</v>
      </c>
    </row>
    <row r="170" spans="1:16" x14ac:dyDescent="0.3">
      <c r="A170" s="72" t="s">
        <v>300</v>
      </c>
      <c r="B170" s="72" t="s">
        <v>759</v>
      </c>
      <c r="C170" s="74">
        <v>2017</v>
      </c>
      <c r="D170" s="81">
        <v>141.62</v>
      </c>
      <c r="E170" s="72" t="s">
        <v>1958</v>
      </c>
      <c r="F170" s="76" t="s">
        <v>1959</v>
      </c>
      <c r="G170" s="72" t="s">
        <v>47</v>
      </c>
      <c r="H170" s="72" t="s">
        <v>1905</v>
      </c>
      <c r="I170" s="72" t="s">
        <v>1893</v>
      </c>
      <c r="J170" s="77" t="s">
        <v>1893</v>
      </c>
      <c r="K170" s="77"/>
      <c r="L170" s="77"/>
      <c r="M170" s="78" t="s">
        <v>1824</v>
      </c>
      <c r="N170" s="78" t="s">
        <v>1825</v>
      </c>
      <c r="O170" s="78"/>
      <c r="P170" s="80">
        <v>141.62</v>
      </c>
    </row>
    <row r="171" spans="1:16" x14ac:dyDescent="0.3">
      <c r="A171" s="72" t="s">
        <v>275</v>
      </c>
      <c r="B171" s="72" t="s">
        <v>765</v>
      </c>
      <c r="C171" s="74">
        <v>2017</v>
      </c>
      <c r="D171" s="81">
        <v>108.95</v>
      </c>
      <c r="E171" s="72" t="s">
        <v>1958</v>
      </c>
      <c r="F171" s="76" t="s">
        <v>1959</v>
      </c>
      <c r="G171" s="72" t="s">
        <v>47</v>
      </c>
      <c r="H171" s="72" t="s">
        <v>1905</v>
      </c>
      <c r="I171" s="72" t="s">
        <v>1893</v>
      </c>
      <c r="J171" s="77" t="s">
        <v>1893</v>
      </c>
      <c r="K171" s="77"/>
      <c r="L171" s="77"/>
      <c r="M171" s="78" t="s">
        <v>1824</v>
      </c>
      <c r="N171" s="78" t="s">
        <v>1825</v>
      </c>
      <c r="O171" s="78"/>
      <c r="P171" s="80">
        <v>108.95</v>
      </c>
    </row>
    <row r="172" spans="1:16" x14ac:dyDescent="0.3">
      <c r="A172" s="72" t="s">
        <v>231</v>
      </c>
      <c r="B172" s="72" t="s">
        <v>766</v>
      </c>
      <c r="C172" s="74">
        <v>2017</v>
      </c>
      <c r="D172" s="81">
        <v>145.47</v>
      </c>
      <c r="E172" s="72" t="s">
        <v>1958</v>
      </c>
      <c r="F172" s="76" t="s">
        <v>1959</v>
      </c>
      <c r="G172" s="72" t="s">
        <v>47</v>
      </c>
      <c r="H172" s="72" t="s">
        <v>1905</v>
      </c>
      <c r="I172" s="72" t="s">
        <v>1893</v>
      </c>
      <c r="J172" s="77" t="s">
        <v>1893</v>
      </c>
      <c r="K172" s="77"/>
      <c r="L172" s="77"/>
      <c r="M172" s="78" t="s">
        <v>1824</v>
      </c>
      <c r="N172" s="78" t="s">
        <v>1825</v>
      </c>
      <c r="O172" s="78"/>
      <c r="P172" s="80">
        <v>145.47</v>
      </c>
    </row>
    <row r="173" spans="1:16" x14ac:dyDescent="0.3">
      <c r="A173" s="72" t="s">
        <v>318</v>
      </c>
      <c r="B173" s="72" t="s">
        <v>767</v>
      </c>
      <c r="C173" s="74">
        <v>2017</v>
      </c>
      <c r="D173" s="81">
        <v>119.62</v>
      </c>
      <c r="E173" s="72" t="s">
        <v>1958</v>
      </c>
      <c r="F173" s="76" t="s">
        <v>1959</v>
      </c>
      <c r="G173" s="72" t="s">
        <v>47</v>
      </c>
      <c r="H173" s="72" t="s">
        <v>1905</v>
      </c>
      <c r="I173" s="72" t="s">
        <v>1893</v>
      </c>
      <c r="J173" s="77" t="s">
        <v>1893</v>
      </c>
      <c r="K173" s="77"/>
      <c r="L173" s="77"/>
      <c r="M173" s="78" t="s">
        <v>1824</v>
      </c>
      <c r="N173" s="78" t="s">
        <v>1825</v>
      </c>
      <c r="O173" s="78"/>
      <c r="P173" s="80">
        <v>119.62</v>
      </c>
    </row>
    <row r="174" spans="1:16" x14ac:dyDescent="0.3">
      <c r="A174" s="72" t="s">
        <v>105</v>
      </c>
      <c r="B174" s="72" t="s">
        <v>768</v>
      </c>
      <c r="C174" s="74">
        <v>2017</v>
      </c>
      <c r="D174" s="81">
        <v>156.16</v>
      </c>
      <c r="E174" s="72" t="s">
        <v>1958</v>
      </c>
      <c r="F174" s="76" t="s">
        <v>1959</v>
      </c>
      <c r="G174" s="72" t="s">
        <v>47</v>
      </c>
      <c r="H174" s="72" t="s">
        <v>1905</v>
      </c>
      <c r="I174" s="72" t="s">
        <v>1893</v>
      </c>
      <c r="J174" s="77" t="s">
        <v>1893</v>
      </c>
      <c r="K174" s="77"/>
      <c r="L174" s="77"/>
      <c r="M174" s="78" t="s">
        <v>1824</v>
      </c>
      <c r="N174" s="78" t="s">
        <v>1825</v>
      </c>
      <c r="O174" s="78"/>
      <c r="P174" s="80">
        <v>156.16</v>
      </c>
    </row>
    <row r="175" spans="1:16" x14ac:dyDescent="0.3">
      <c r="A175" s="72" t="s">
        <v>288</v>
      </c>
      <c r="B175" s="72" t="s">
        <v>2045</v>
      </c>
      <c r="C175" s="74">
        <v>2017</v>
      </c>
      <c r="D175" s="81">
        <v>131.24</v>
      </c>
      <c r="E175" s="72" t="s">
        <v>1958</v>
      </c>
      <c r="F175" s="76" t="s">
        <v>1959</v>
      </c>
      <c r="G175" s="72" t="s">
        <v>47</v>
      </c>
      <c r="H175" s="72" t="s">
        <v>1905</v>
      </c>
      <c r="I175" s="72" t="s">
        <v>1893</v>
      </c>
      <c r="J175" s="77" t="s">
        <v>1893</v>
      </c>
      <c r="K175" s="77"/>
      <c r="L175" s="77"/>
      <c r="M175" s="78" t="s">
        <v>1824</v>
      </c>
      <c r="N175" s="78" t="s">
        <v>1825</v>
      </c>
      <c r="O175" s="78"/>
      <c r="P175" s="80">
        <v>131.24</v>
      </c>
    </row>
    <row r="176" spans="1:16" x14ac:dyDescent="0.3">
      <c r="A176" s="72" t="s">
        <v>366</v>
      </c>
      <c r="B176" s="72" t="s">
        <v>774</v>
      </c>
      <c r="C176" s="74">
        <v>2017</v>
      </c>
      <c r="D176" s="81">
        <v>181.2</v>
      </c>
      <c r="E176" s="72" t="s">
        <v>1958</v>
      </c>
      <c r="F176" s="76" t="s">
        <v>1959</v>
      </c>
      <c r="G176" s="72" t="s">
        <v>47</v>
      </c>
      <c r="H176" s="72" t="s">
        <v>1905</v>
      </c>
      <c r="I176" s="72" t="s">
        <v>1893</v>
      </c>
      <c r="J176" s="77" t="s">
        <v>1893</v>
      </c>
      <c r="K176" s="77"/>
      <c r="L176" s="77"/>
      <c r="M176" s="78" t="s">
        <v>1824</v>
      </c>
      <c r="N176" s="78" t="s">
        <v>1825</v>
      </c>
      <c r="O176" s="78"/>
      <c r="P176" s="80">
        <v>181.2</v>
      </c>
    </row>
    <row r="177" spans="1:16" x14ac:dyDescent="0.3">
      <c r="A177" s="72" t="s">
        <v>202</v>
      </c>
      <c r="B177" s="72" t="s">
        <v>775</v>
      </c>
      <c r="C177" s="74">
        <v>2017</v>
      </c>
      <c r="D177" s="81">
        <v>146.69999999999999</v>
      </c>
      <c r="E177" s="72" t="s">
        <v>1958</v>
      </c>
      <c r="F177" s="76" t="s">
        <v>1959</v>
      </c>
      <c r="G177" s="72" t="s">
        <v>47</v>
      </c>
      <c r="H177" s="72" t="s">
        <v>1905</v>
      </c>
      <c r="I177" s="72" t="s">
        <v>1893</v>
      </c>
      <c r="J177" s="77" t="s">
        <v>1893</v>
      </c>
      <c r="K177" s="77"/>
      <c r="L177" s="77"/>
      <c r="M177" s="78" t="s">
        <v>1824</v>
      </c>
      <c r="N177" s="78" t="s">
        <v>1825</v>
      </c>
      <c r="O177" s="78"/>
      <c r="P177" s="80">
        <v>146.69999999999999</v>
      </c>
    </row>
    <row r="178" spans="1:16" x14ac:dyDescent="0.3">
      <c r="A178" s="72" t="s">
        <v>350</v>
      </c>
      <c r="B178" s="72" t="s">
        <v>776</v>
      </c>
      <c r="C178" s="74">
        <v>2017</v>
      </c>
      <c r="D178" s="81">
        <v>196.72</v>
      </c>
      <c r="E178" s="72" t="s">
        <v>1958</v>
      </c>
      <c r="F178" s="76" t="s">
        <v>1959</v>
      </c>
      <c r="G178" s="72" t="s">
        <v>47</v>
      </c>
      <c r="H178" s="72" t="s">
        <v>1905</v>
      </c>
      <c r="I178" s="72" t="s">
        <v>1893</v>
      </c>
      <c r="J178" s="77" t="s">
        <v>1893</v>
      </c>
      <c r="K178" s="77"/>
      <c r="L178" s="77"/>
      <c r="M178" s="78" t="s">
        <v>1824</v>
      </c>
      <c r="N178" s="78" t="s">
        <v>1825</v>
      </c>
      <c r="O178" s="78"/>
      <c r="P178" s="80">
        <v>196.72</v>
      </c>
    </row>
    <row r="179" spans="1:16" x14ac:dyDescent="0.3">
      <c r="A179" s="72" t="s">
        <v>310</v>
      </c>
      <c r="B179" s="72" t="s">
        <v>782</v>
      </c>
      <c r="C179" s="74">
        <v>2017</v>
      </c>
      <c r="D179" s="81">
        <v>124.45</v>
      </c>
      <c r="E179" s="72" t="s">
        <v>1958</v>
      </c>
      <c r="F179" s="76" t="s">
        <v>1959</v>
      </c>
      <c r="G179" s="72" t="s">
        <v>47</v>
      </c>
      <c r="H179" s="72" t="s">
        <v>1905</v>
      </c>
      <c r="I179" s="72" t="s">
        <v>1893</v>
      </c>
      <c r="J179" s="77" t="s">
        <v>1893</v>
      </c>
      <c r="K179" s="77"/>
      <c r="L179" s="77"/>
      <c r="M179" s="78" t="s">
        <v>1824</v>
      </c>
      <c r="N179" s="78" t="s">
        <v>1825</v>
      </c>
      <c r="O179" s="78"/>
      <c r="P179" s="80">
        <v>124.45</v>
      </c>
    </row>
    <row r="180" spans="1:16" x14ac:dyDescent="0.3">
      <c r="A180" s="72" t="s">
        <v>102</v>
      </c>
      <c r="B180" s="72" t="s">
        <v>783</v>
      </c>
      <c r="C180" s="74">
        <v>2017</v>
      </c>
      <c r="D180" s="81">
        <v>174.43</v>
      </c>
      <c r="E180" s="72" t="s">
        <v>1958</v>
      </c>
      <c r="F180" s="76" t="s">
        <v>1959</v>
      </c>
      <c r="G180" s="72" t="s">
        <v>47</v>
      </c>
      <c r="H180" s="72" t="s">
        <v>1905</v>
      </c>
      <c r="I180" s="72" t="s">
        <v>1893</v>
      </c>
      <c r="J180" s="77" t="s">
        <v>1893</v>
      </c>
      <c r="K180" s="77"/>
      <c r="L180" s="77"/>
      <c r="M180" s="78" t="s">
        <v>1824</v>
      </c>
      <c r="N180" s="78" t="s">
        <v>1825</v>
      </c>
      <c r="O180" s="78"/>
      <c r="P180" s="80">
        <v>174.43</v>
      </c>
    </row>
    <row r="181" spans="1:16" x14ac:dyDescent="0.3">
      <c r="A181" s="72" t="s">
        <v>64</v>
      </c>
      <c r="B181" s="72" t="s">
        <v>784</v>
      </c>
      <c r="C181" s="74">
        <v>2017</v>
      </c>
      <c r="D181" s="81">
        <v>140.79</v>
      </c>
      <c r="E181" s="72" t="s">
        <v>1958</v>
      </c>
      <c r="F181" s="76" t="s">
        <v>1959</v>
      </c>
      <c r="G181" s="72" t="s">
        <v>47</v>
      </c>
      <c r="H181" s="72" t="s">
        <v>1905</v>
      </c>
      <c r="I181" s="72" t="s">
        <v>1893</v>
      </c>
      <c r="J181" s="77" t="s">
        <v>1893</v>
      </c>
      <c r="K181" s="77"/>
      <c r="L181" s="77"/>
      <c r="M181" s="78" t="s">
        <v>1824</v>
      </c>
      <c r="N181" s="78" t="s">
        <v>1825</v>
      </c>
      <c r="O181" s="78"/>
      <c r="P181" s="80">
        <v>140.79</v>
      </c>
    </row>
    <row r="182" spans="1:16" x14ac:dyDescent="0.3">
      <c r="A182" s="72" t="s">
        <v>223</v>
      </c>
      <c r="B182" s="72" t="s">
        <v>785</v>
      </c>
      <c r="C182" s="74">
        <v>2017</v>
      </c>
      <c r="D182" s="81">
        <v>190.78</v>
      </c>
      <c r="E182" s="72" t="s">
        <v>1958</v>
      </c>
      <c r="F182" s="76" t="s">
        <v>1959</v>
      </c>
      <c r="G182" s="72" t="s">
        <v>47</v>
      </c>
      <c r="H182" s="72" t="s">
        <v>1905</v>
      </c>
      <c r="I182" s="72" t="s">
        <v>1893</v>
      </c>
      <c r="J182" s="77" t="s">
        <v>1893</v>
      </c>
      <c r="K182" s="77"/>
      <c r="L182" s="77"/>
      <c r="M182" s="78" t="s">
        <v>1824</v>
      </c>
      <c r="N182" s="78" t="s">
        <v>1825</v>
      </c>
      <c r="O182" s="78"/>
      <c r="P182" s="80">
        <v>190.78</v>
      </c>
    </row>
    <row r="183" spans="1:16" x14ac:dyDescent="0.3">
      <c r="A183" s="72" t="s">
        <v>147</v>
      </c>
      <c r="B183" s="72" t="s">
        <v>791</v>
      </c>
      <c r="C183" s="74">
        <v>2017</v>
      </c>
      <c r="D183" s="81">
        <v>161.22999999999999</v>
      </c>
      <c r="E183" s="72" t="s">
        <v>1958</v>
      </c>
      <c r="F183" s="76" t="s">
        <v>1959</v>
      </c>
      <c r="G183" s="72" t="s">
        <v>47</v>
      </c>
      <c r="H183" s="72" t="s">
        <v>1905</v>
      </c>
      <c r="I183" s="72" t="s">
        <v>1893</v>
      </c>
      <c r="J183" s="77" t="s">
        <v>1893</v>
      </c>
      <c r="K183" s="77"/>
      <c r="L183" s="77"/>
      <c r="M183" s="78" t="s">
        <v>1824</v>
      </c>
      <c r="N183" s="78" t="s">
        <v>1825</v>
      </c>
      <c r="O183" s="78"/>
      <c r="P183" s="80">
        <v>161.22999999999999</v>
      </c>
    </row>
    <row r="184" spans="1:16" x14ac:dyDescent="0.3">
      <c r="A184" s="72" t="s">
        <v>142</v>
      </c>
      <c r="B184" s="72" t="s">
        <v>792</v>
      </c>
      <c r="C184" s="74">
        <v>2017</v>
      </c>
      <c r="D184" s="81">
        <v>245.73</v>
      </c>
      <c r="E184" s="72" t="s">
        <v>1958</v>
      </c>
      <c r="F184" s="76" t="s">
        <v>1959</v>
      </c>
      <c r="G184" s="72" t="s">
        <v>47</v>
      </c>
      <c r="H184" s="72" t="s">
        <v>1905</v>
      </c>
      <c r="I184" s="72" t="s">
        <v>1893</v>
      </c>
      <c r="J184" s="77" t="s">
        <v>1893</v>
      </c>
      <c r="K184" s="77"/>
      <c r="L184" s="77"/>
      <c r="M184" s="78" t="s">
        <v>1824</v>
      </c>
      <c r="N184" s="78" t="s">
        <v>1825</v>
      </c>
      <c r="O184" s="78"/>
      <c r="P184" s="80">
        <v>245.73</v>
      </c>
    </row>
    <row r="185" spans="1:16" x14ac:dyDescent="0.3">
      <c r="A185" s="72" t="s">
        <v>329</v>
      </c>
      <c r="B185" s="72" t="s">
        <v>793</v>
      </c>
      <c r="C185" s="74">
        <v>2017</v>
      </c>
      <c r="D185" s="81">
        <v>182.51</v>
      </c>
      <c r="E185" s="72" t="s">
        <v>1958</v>
      </c>
      <c r="F185" s="76" t="s">
        <v>1959</v>
      </c>
      <c r="G185" s="72" t="s">
        <v>47</v>
      </c>
      <c r="H185" s="72" t="s">
        <v>1905</v>
      </c>
      <c r="I185" s="72" t="s">
        <v>1893</v>
      </c>
      <c r="J185" s="77" t="s">
        <v>1893</v>
      </c>
      <c r="K185" s="77"/>
      <c r="L185" s="77"/>
      <c r="M185" s="78" t="s">
        <v>1824</v>
      </c>
      <c r="N185" s="78" t="s">
        <v>1825</v>
      </c>
      <c r="O185" s="78"/>
      <c r="P185" s="80">
        <v>182.51</v>
      </c>
    </row>
    <row r="186" spans="1:16" x14ac:dyDescent="0.3">
      <c r="A186" s="72" t="s">
        <v>183</v>
      </c>
      <c r="B186" s="72" t="s">
        <v>794</v>
      </c>
      <c r="C186" s="74">
        <v>2017</v>
      </c>
      <c r="D186" s="81">
        <v>267.01</v>
      </c>
      <c r="E186" s="72" t="s">
        <v>1958</v>
      </c>
      <c r="F186" s="76" t="s">
        <v>1959</v>
      </c>
      <c r="G186" s="72" t="s">
        <v>47</v>
      </c>
      <c r="H186" s="72" t="s">
        <v>1905</v>
      </c>
      <c r="I186" s="72" t="s">
        <v>1893</v>
      </c>
      <c r="J186" s="77" t="s">
        <v>1893</v>
      </c>
      <c r="K186" s="77"/>
      <c r="L186" s="77"/>
      <c r="M186" s="78" t="s">
        <v>1824</v>
      </c>
      <c r="N186" s="78" t="s">
        <v>1825</v>
      </c>
      <c r="O186" s="78"/>
      <c r="P186" s="80">
        <v>267.01</v>
      </c>
    </row>
    <row r="187" spans="1:16" x14ac:dyDescent="0.3">
      <c r="A187" s="72" t="s">
        <v>373</v>
      </c>
      <c r="B187" s="72" t="s">
        <v>800</v>
      </c>
      <c r="C187" s="74">
        <v>2017</v>
      </c>
      <c r="D187" s="81">
        <v>156.63999999999999</v>
      </c>
      <c r="E187" s="72" t="s">
        <v>1958</v>
      </c>
      <c r="F187" s="76" t="s">
        <v>1959</v>
      </c>
      <c r="G187" s="72" t="s">
        <v>47</v>
      </c>
      <c r="H187" s="72" t="s">
        <v>1905</v>
      </c>
      <c r="I187" s="72" t="s">
        <v>1893</v>
      </c>
      <c r="J187" s="77" t="s">
        <v>1893</v>
      </c>
      <c r="K187" s="77"/>
      <c r="L187" s="77"/>
      <c r="M187" s="78" t="s">
        <v>1824</v>
      </c>
      <c r="N187" s="78" t="s">
        <v>1825</v>
      </c>
      <c r="O187" s="78"/>
      <c r="P187" s="80">
        <v>156.63999999999999</v>
      </c>
    </row>
    <row r="188" spans="1:16" x14ac:dyDescent="0.3">
      <c r="A188" s="72" t="s">
        <v>250</v>
      </c>
      <c r="B188" s="72" t="s">
        <v>801</v>
      </c>
      <c r="C188" s="74">
        <v>2017</v>
      </c>
      <c r="D188" s="81">
        <v>206.62</v>
      </c>
      <c r="E188" s="72" t="s">
        <v>1958</v>
      </c>
      <c r="F188" s="76" t="s">
        <v>1959</v>
      </c>
      <c r="G188" s="72" t="s">
        <v>47</v>
      </c>
      <c r="H188" s="72" t="s">
        <v>1905</v>
      </c>
      <c r="I188" s="72" t="s">
        <v>1893</v>
      </c>
      <c r="J188" s="77" t="s">
        <v>1893</v>
      </c>
      <c r="K188" s="77"/>
      <c r="L188" s="77"/>
      <c r="M188" s="78" t="s">
        <v>1824</v>
      </c>
      <c r="N188" s="78" t="s">
        <v>1825</v>
      </c>
      <c r="O188" s="78"/>
      <c r="P188" s="80">
        <v>206.62</v>
      </c>
    </row>
    <row r="189" spans="1:16" x14ac:dyDescent="0.3">
      <c r="A189" s="72" t="s">
        <v>282</v>
      </c>
      <c r="B189" s="72" t="s">
        <v>802</v>
      </c>
      <c r="C189" s="74">
        <v>2017</v>
      </c>
      <c r="D189" s="81">
        <v>172.13</v>
      </c>
      <c r="E189" s="72" t="s">
        <v>1958</v>
      </c>
      <c r="F189" s="76" t="s">
        <v>1959</v>
      </c>
      <c r="G189" s="72" t="s">
        <v>47</v>
      </c>
      <c r="H189" s="72" t="s">
        <v>1905</v>
      </c>
      <c r="I189" s="72" t="s">
        <v>1893</v>
      </c>
      <c r="J189" s="77" t="s">
        <v>1893</v>
      </c>
      <c r="K189" s="77"/>
      <c r="L189" s="77"/>
      <c r="M189" s="78" t="s">
        <v>1824</v>
      </c>
      <c r="N189" s="78" t="s">
        <v>1825</v>
      </c>
      <c r="O189" s="78"/>
      <c r="P189" s="80">
        <v>172.13</v>
      </c>
    </row>
    <row r="190" spans="1:16" x14ac:dyDescent="0.3">
      <c r="A190" s="72" t="s">
        <v>352</v>
      </c>
      <c r="B190" s="72" t="s">
        <v>803</v>
      </c>
      <c r="C190" s="74">
        <v>2017</v>
      </c>
      <c r="D190" s="81">
        <v>222.1</v>
      </c>
      <c r="E190" s="72" t="s">
        <v>1958</v>
      </c>
      <c r="F190" s="76" t="s">
        <v>1959</v>
      </c>
      <c r="G190" s="72" t="s">
        <v>47</v>
      </c>
      <c r="H190" s="72" t="s">
        <v>1905</v>
      </c>
      <c r="I190" s="72" t="s">
        <v>1893</v>
      </c>
      <c r="J190" s="77" t="s">
        <v>1893</v>
      </c>
      <c r="K190" s="77"/>
      <c r="L190" s="77"/>
      <c r="M190" s="78" t="s">
        <v>1824</v>
      </c>
      <c r="N190" s="78" t="s">
        <v>1825</v>
      </c>
      <c r="O190" s="78"/>
      <c r="P190" s="80">
        <v>222.1</v>
      </c>
    </row>
    <row r="191" spans="1:16" x14ac:dyDescent="0.3">
      <c r="A191" s="72" t="s">
        <v>126</v>
      </c>
      <c r="B191" s="72" t="s">
        <v>744</v>
      </c>
      <c r="C191" s="74">
        <v>2017</v>
      </c>
      <c r="D191" s="81">
        <v>131.13</v>
      </c>
      <c r="E191" s="72" t="s">
        <v>1958</v>
      </c>
      <c r="F191" s="76" t="s">
        <v>1959</v>
      </c>
      <c r="G191" s="72" t="s">
        <v>47</v>
      </c>
      <c r="H191" s="72" t="s">
        <v>1905</v>
      </c>
      <c r="I191" s="72" t="s">
        <v>1893</v>
      </c>
      <c r="J191" s="77" t="s">
        <v>1893</v>
      </c>
      <c r="K191" s="77"/>
      <c r="L191" s="77"/>
      <c r="M191" s="78" t="s">
        <v>1824</v>
      </c>
      <c r="N191" s="78" t="s">
        <v>1825</v>
      </c>
      <c r="O191" s="78"/>
      <c r="P191" s="80">
        <v>131.13</v>
      </c>
    </row>
    <row r="192" spans="1:16" x14ac:dyDescent="0.3">
      <c r="A192" s="72" t="s">
        <v>257</v>
      </c>
      <c r="B192" s="72" t="s">
        <v>747</v>
      </c>
      <c r="C192" s="74">
        <v>2017</v>
      </c>
      <c r="D192" s="81">
        <v>170.49</v>
      </c>
      <c r="E192" s="72" t="s">
        <v>1958</v>
      </c>
      <c r="F192" s="76" t="s">
        <v>1959</v>
      </c>
      <c r="G192" s="72" t="s">
        <v>47</v>
      </c>
      <c r="H192" s="72" t="s">
        <v>1905</v>
      </c>
      <c r="I192" s="72" t="s">
        <v>1893</v>
      </c>
      <c r="J192" s="77" t="s">
        <v>1893</v>
      </c>
      <c r="K192" s="77"/>
      <c r="L192" s="77"/>
      <c r="M192" s="78" t="s">
        <v>1824</v>
      </c>
      <c r="N192" s="78" t="s">
        <v>1825</v>
      </c>
      <c r="O192" s="78"/>
      <c r="P192" s="80">
        <v>170.49</v>
      </c>
    </row>
    <row r="193" spans="1:16" x14ac:dyDescent="0.3">
      <c r="A193" s="72" t="s">
        <v>272</v>
      </c>
      <c r="B193" s="72" t="s">
        <v>749</v>
      </c>
      <c r="C193" s="74">
        <v>2017</v>
      </c>
      <c r="D193" s="81">
        <v>211.4</v>
      </c>
      <c r="E193" s="72" t="s">
        <v>1958</v>
      </c>
      <c r="F193" s="76" t="s">
        <v>1959</v>
      </c>
      <c r="G193" s="72" t="s">
        <v>47</v>
      </c>
      <c r="H193" s="72" t="s">
        <v>1905</v>
      </c>
      <c r="I193" s="72" t="s">
        <v>1893</v>
      </c>
      <c r="J193" s="77" t="s">
        <v>1893</v>
      </c>
      <c r="K193" s="77"/>
      <c r="L193" s="77"/>
      <c r="M193" s="78" t="s">
        <v>1824</v>
      </c>
      <c r="N193" s="78" t="s">
        <v>1825</v>
      </c>
      <c r="O193" s="78"/>
      <c r="P193" s="80">
        <v>211.4</v>
      </c>
    </row>
    <row r="194" spans="1:16" x14ac:dyDescent="0.3">
      <c r="A194" s="72" t="s">
        <v>241</v>
      </c>
      <c r="B194" s="72" t="s">
        <v>751</v>
      </c>
      <c r="C194" s="74">
        <v>2017</v>
      </c>
      <c r="D194" s="81">
        <v>250.48</v>
      </c>
      <c r="E194" s="72" t="s">
        <v>1958</v>
      </c>
      <c r="F194" s="76" t="s">
        <v>1959</v>
      </c>
      <c r="G194" s="72" t="s">
        <v>47</v>
      </c>
      <c r="H194" s="72" t="s">
        <v>1905</v>
      </c>
      <c r="I194" s="72" t="s">
        <v>1893</v>
      </c>
      <c r="J194" s="77" t="s">
        <v>1893</v>
      </c>
      <c r="K194" s="77"/>
      <c r="L194" s="77"/>
      <c r="M194" s="78" t="s">
        <v>1824</v>
      </c>
      <c r="N194" s="78" t="s">
        <v>1825</v>
      </c>
      <c r="O194" s="78"/>
      <c r="P194" s="80">
        <v>250.48</v>
      </c>
    </row>
    <row r="195" spans="1:16" x14ac:dyDescent="0.3">
      <c r="A195" s="72" t="s">
        <v>206</v>
      </c>
      <c r="B195" s="72" t="s">
        <v>753</v>
      </c>
      <c r="C195" s="74">
        <v>2017</v>
      </c>
      <c r="D195" s="81">
        <v>249.3</v>
      </c>
      <c r="E195" s="72" t="s">
        <v>1958</v>
      </c>
      <c r="F195" s="76" t="s">
        <v>1959</v>
      </c>
      <c r="G195" s="72" t="s">
        <v>47</v>
      </c>
      <c r="H195" s="72" t="s">
        <v>1905</v>
      </c>
      <c r="I195" s="72" t="s">
        <v>1893</v>
      </c>
      <c r="J195" s="77" t="s">
        <v>1893</v>
      </c>
      <c r="K195" s="77"/>
      <c r="L195" s="77"/>
      <c r="M195" s="78" t="s">
        <v>1824</v>
      </c>
      <c r="N195" s="78" t="s">
        <v>1825</v>
      </c>
      <c r="O195" s="78"/>
      <c r="P195" s="80">
        <v>249.3</v>
      </c>
    </row>
    <row r="196" spans="1:16" x14ac:dyDescent="0.3">
      <c r="A196" s="72" t="s">
        <v>566</v>
      </c>
      <c r="B196" s="72" t="s">
        <v>755</v>
      </c>
      <c r="C196" s="74">
        <v>2017</v>
      </c>
      <c r="D196" s="81">
        <v>326.2</v>
      </c>
      <c r="E196" s="72" t="s">
        <v>1958</v>
      </c>
      <c r="F196" s="76" t="s">
        <v>1959</v>
      </c>
      <c r="G196" s="72" t="s">
        <v>47</v>
      </c>
      <c r="H196" s="72" t="s">
        <v>1905</v>
      </c>
      <c r="I196" s="72" t="s">
        <v>1893</v>
      </c>
      <c r="J196" s="77" t="s">
        <v>1893</v>
      </c>
      <c r="K196" s="77"/>
      <c r="L196" s="77"/>
      <c r="M196" s="78" t="s">
        <v>1824</v>
      </c>
      <c r="N196" s="78" t="s">
        <v>1825</v>
      </c>
      <c r="O196" s="78"/>
      <c r="P196" s="80">
        <v>326.2</v>
      </c>
    </row>
    <row r="197" spans="1:16" x14ac:dyDescent="0.3">
      <c r="A197" s="72" t="s">
        <v>217</v>
      </c>
      <c r="B197" s="72" t="s">
        <v>810</v>
      </c>
      <c r="C197" s="74">
        <v>2017</v>
      </c>
      <c r="D197" s="81">
        <v>87.72</v>
      </c>
      <c r="E197" s="72" t="s">
        <v>1958</v>
      </c>
      <c r="F197" s="76" t="s">
        <v>1959</v>
      </c>
      <c r="G197" s="72" t="s">
        <v>47</v>
      </c>
      <c r="H197" s="72" t="s">
        <v>1905</v>
      </c>
      <c r="I197" s="72" t="s">
        <v>1893</v>
      </c>
      <c r="J197" s="77" t="s">
        <v>1893</v>
      </c>
      <c r="K197" s="77"/>
      <c r="L197" s="77"/>
      <c r="M197" s="78" t="s">
        <v>1824</v>
      </c>
      <c r="N197" s="78" t="s">
        <v>1825</v>
      </c>
      <c r="O197" s="78"/>
      <c r="P197" s="80">
        <v>87.72</v>
      </c>
    </row>
    <row r="198" spans="1:16" x14ac:dyDescent="0.3">
      <c r="A198" s="72" t="s">
        <v>112</v>
      </c>
      <c r="B198" s="72" t="s">
        <v>813</v>
      </c>
      <c r="C198" s="74">
        <v>2017</v>
      </c>
      <c r="D198" s="81">
        <v>132.79</v>
      </c>
      <c r="E198" s="72" t="s">
        <v>1958</v>
      </c>
      <c r="F198" s="76" t="s">
        <v>1959</v>
      </c>
      <c r="G198" s="72" t="s">
        <v>47</v>
      </c>
      <c r="H198" s="72" t="s">
        <v>1905</v>
      </c>
      <c r="I198" s="72" t="s">
        <v>1893</v>
      </c>
      <c r="J198" s="77" t="s">
        <v>1893</v>
      </c>
      <c r="K198" s="77"/>
      <c r="L198" s="77"/>
      <c r="M198" s="78" t="s">
        <v>1824</v>
      </c>
      <c r="N198" s="78" t="s">
        <v>1825</v>
      </c>
      <c r="O198" s="78"/>
      <c r="P198" s="80">
        <v>132.79</v>
      </c>
    </row>
    <row r="199" spans="1:16" x14ac:dyDescent="0.3">
      <c r="A199" s="72" t="s">
        <v>123</v>
      </c>
      <c r="B199" s="72" t="s">
        <v>1162</v>
      </c>
      <c r="C199" s="74">
        <v>2017</v>
      </c>
      <c r="D199" s="81">
        <v>116.15</v>
      </c>
      <c r="E199" s="72" t="s">
        <v>1958</v>
      </c>
      <c r="F199" s="76" t="s">
        <v>1959</v>
      </c>
      <c r="G199" s="72" t="s">
        <v>47</v>
      </c>
      <c r="H199" s="72" t="s">
        <v>1905</v>
      </c>
      <c r="I199" s="72" t="s">
        <v>1893</v>
      </c>
      <c r="J199" s="77" t="s">
        <v>1893</v>
      </c>
      <c r="K199" s="77"/>
      <c r="L199" s="77"/>
      <c r="M199" s="78" t="s">
        <v>1824</v>
      </c>
      <c r="N199" s="78" t="s">
        <v>1825</v>
      </c>
      <c r="O199" s="78"/>
      <c r="P199" s="80">
        <v>116.15</v>
      </c>
    </row>
    <row r="200" spans="1:16" x14ac:dyDescent="0.3">
      <c r="A200" s="72" t="s">
        <v>278</v>
      </c>
      <c r="B200" s="72" t="s">
        <v>1163</v>
      </c>
      <c r="C200" s="74">
        <v>2017</v>
      </c>
      <c r="D200" s="81">
        <v>157.18</v>
      </c>
      <c r="E200" s="72" t="s">
        <v>1958</v>
      </c>
      <c r="F200" s="76" t="s">
        <v>1959</v>
      </c>
      <c r="G200" s="72" t="s">
        <v>47</v>
      </c>
      <c r="H200" s="72" t="s">
        <v>1905</v>
      </c>
      <c r="I200" s="72" t="s">
        <v>1893</v>
      </c>
      <c r="J200" s="77" t="s">
        <v>1893</v>
      </c>
      <c r="K200" s="77"/>
      <c r="L200" s="77"/>
      <c r="M200" s="78" t="s">
        <v>1824</v>
      </c>
      <c r="N200" s="78" t="s">
        <v>1825</v>
      </c>
      <c r="O200" s="78"/>
      <c r="P200" s="80">
        <v>157.18</v>
      </c>
    </row>
    <row r="201" spans="1:16" x14ac:dyDescent="0.3">
      <c r="A201" s="72" t="s">
        <v>255</v>
      </c>
      <c r="B201" s="72" t="s">
        <v>834</v>
      </c>
      <c r="C201" s="74">
        <v>2017</v>
      </c>
      <c r="D201" s="81">
        <v>101.93</v>
      </c>
      <c r="E201" s="72" t="s">
        <v>1958</v>
      </c>
      <c r="F201" s="76" t="s">
        <v>1959</v>
      </c>
      <c r="G201" s="72" t="s">
        <v>47</v>
      </c>
      <c r="H201" s="72" t="s">
        <v>1905</v>
      </c>
      <c r="I201" s="72" t="s">
        <v>1893</v>
      </c>
      <c r="J201" s="77" t="s">
        <v>1893</v>
      </c>
      <c r="K201" s="77"/>
      <c r="L201" s="77"/>
      <c r="M201" s="78" t="s">
        <v>1824</v>
      </c>
      <c r="N201" s="78" t="s">
        <v>1825</v>
      </c>
      <c r="O201" s="78"/>
      <c r="P201" s="80">
        <v>101.93</v>
      </c>
    </row>
    <row r="202" spans="1:16" x14ac:dyDescent="0.3">
      <c r="A202" s="72" t="s">
        <v>137</v>
      </c>
      <c r="B202" s="72" t="s">
        <v>837</v>
      </c>
      <c r="C202" s="74">
        <v>2017</v>
      </c>
      <c r="D202" s="81">
        <v>147.02000000000001</v>
      </c>
      <c r="E202" s="72" t="s">
        <v>1958</v>
      </c>
      <c r="F202" s="76" t="s">
        <v>1959</v>
      </c>
      <c r="G202" s="72" t="s">
        <v>47</v>
      </c>
      <c r="H202" s="72" t="s">
        <v>1905</v>
      </c>
      <c r="I202" s="72" t="s">
        <v>1893</v>
      </c>
      <c r="J202" s="77" t="s">
        <v>1893</v>
      </c>
      <c r="K202" s="77"/>
      <c r="L202" s="77"/>
      <c r="M202" s="78" t="s">
        <v>1824</v>
      </c>
      <c r="N202" s="78" t="s">
        <v>1825</v>
      </c>
      <c r="O202" s="78"/>
      <c r="P202" s="80">
        <v>147.02000000000001</v>
      </c>
    </row>
    <row r="203" spans="1:16" x14ac:dyDescent="0.3">
      <c r="A203" s="72" t="s">
        <v>181</v>
      </c>
      <c r="B203" s="72" t="s">
        <v>840</v>
      </c>
      <c r="C203" s="74">
        <v>2017</v>
      </c>
      <c r="D203" s="81">
        <v>125.64</v>
      </c>
      <c r="E203" s="72" t="s">
        <v>1958</v>
      </c>
      <c r="F203" s="76" t="s">
        <v>1959</v>
      </c>
      <c r="G203" s="72" t="s">
        <v>47</v>
      </c>
      <c r="H203" s="72" t="s">
        <v>1905</v>
      </c>
      <c r="I203" s="72" t="s">
        <v>1893</v>
      </c>
      <c r="J203" s="77" t="s">
        <v>1893</v>
      </c>
      <c r="K203" s="77"/>
      <c r="L203" s="77"/>
      <c r="M203" s="78" t="s">
        <v>1824</v>
      </c>
      <c r="N203" s="78" t="s">
        <v>1825</v>
      </c>
      <c r="O203" s="78"/>
      <c r="P203" s="80">
        <v>125.64</v>
      </c>
    </row>
    <row r="204" spans="1:16" x14ac:dyDescent="0.3">
      <c r="A204" s="72" t="s">
        <v>301</v>
      </c>
      <c r="B204" s="72" t="s">
        <v>843</v>
      </c>
      <c r="C204" s="74">
        <v>2017</v>
      </c>
      <c r="D204" s="81">
        <v>170.71</v>
      </c>
      <c r="E204" s="72" t="s">
        <v>1958</v>
      </c>
      <c r="F204" s="76" t="s">
        <v>1959</v>
      </c>
      <c r="G204" s="72" t="s">
        <v>47</v>
      </c>
      <c r="H204" s="72" t="s">
        <v>1905</v>
      </c>
      <c r="I204" s="72" t="s">
        <v>1893</v>
      </c>
      <c r="J204" s="77" t="s">
        <v>1893</v>
      </c>
      <c r="K204" s="77"/>
      <c r="L204" s="77"/>
      <c r="M204" s="78" t="s">
        <v>1824</v>
      </c>
      <c r="N204" s="78" t="s">
        <v>1825</v>
      </c>
      <c r="O204" s="78"/>
      <c r="P204" s="80">
        <v>170.71</v>
      </c>
    </row>
    <row r="205" spans="1:16" x14ac:dyDescent="0.3">
      <c r="A205" s="72" t="s">
        <v>343</v>
      </c>
      <c r="B205" s="72" t="s">
        <v>858</v>
      </c>
      <c r="C205" s="74">
        <v>2017</v>
      </c>
      <c r="D205" s="81">
        <v>117.95</v>
      </c>
      <c r="E205" s="72" t="s">
        <v>1958</v>
      </c>
      <c r="F205" s="76" t="s">
        <v>1959</v>
      </c>
      <c r="G205" s="72" t="s">
        <v>47</v>
      </c>
      <c r="H205" s="72" t="s">
        <v>1905</v>
      </c>
      <c r="I205" s="72" t="s">
        <v>1893</v>
      </c>
      <c r="J205" s="77" t="s">
        <v>1893</v>
      </c>
      <c r="K205" s="77"/>
      <c r="L205" s="77"/>
      <c r="M205" s="78" t="s">
        <v>1824</v>
      </c>
      <c r="N205" s="78" t="s">
        <v>1825</v>
      </c>
      <c r="O205" s="78"/>
      <c r="P205" s="80">
        <v>117.95</v>
      </c>
    </row>
    <row r="206" spans="1:16" x14ac:dyDescent="0.3">
      <c r="A206" s="72" t="s">
        <v>337</v>
      </c>
      <c r="B206" s="72" t="s">
        <v>861</v>
      </c>
      <c r="C206" s="74">
        <v>2017</v>
      </c>
      <c r="D206" s="81">
        <v>158.99</v>
      </c>
      <c r="E206" s="72" t="s">
        <v>1958</v>
      </c>
      <c r="F206" s="76" t="s">
        <v>1959</v>
      </c>
      <c r="G206" s="72" t="s">
        <v>47</v>
      </c>
      <c r="H206" s="72" t="s">
        <v>1905</v>
      </c>
      <c r="I206" s="72" t="s">
        <v>1893</v>
      </c>
      <c r="J206" s="77" t="s">
        <v>1893</v>
      </c>
      <c r="K206" s="77"/>
      <c r="L206" s="77"/>
      <c r="M206" s="78" t="s">
        <v>1824</v>
      </c>
      <c r="N206" s="78" t="s">
        <v>1825</v>
      </c>
      <c r="O206" s="78"/>
      <c r="P206" s="80">
        <v>158.99</v>
      </c>
    </row>
    <row r="207" spans="1:16" x14ac:dyDescent="0.3">
      <c r="A207" s="72" t="s">
        <v>233</v>
      </c>
      <c r="B207" s="72" t="s">
        <v>864</v>
      </c>
      <c r="C207" s="74">
        <v>2017</v>
      </c>
      <c r="D207" s="81">
        <v>142.16999999999999</v>
      </c>
      <c r="E207" s="72" t="s">
        <v>1958</v>
      </c>
      <c r="F207" s="76" t="s">
        <v>1959</v>
      </c>
      <c r="G207" s="72" t="s">
        <v>47</v>
      </c>
      <c r="H207" s="72" t="s">
        <v>1905</v>
      </c>
      <c r="I207" s="72" t="s">
        <v>1893</v>
      </c>
      <c r="J207" s="77" t="s">
        <v>1893</v>
      </c>
      <c r="K207" s="77"/>
      <c r="L207" s="77"/>
      <c r="M207" s="78" t="s">
        <v>1824</v>
      </c>
      <c r="N207" s="78" t="s">
        <v>1825</v>
      </c>
      <c r="O207" s="78"/>
      <c r="P207" s="80">
        <v>142.16999999999999</v>
      </c>
    </row>
    <row r="208" spans="1:16" x14ac:dyDescent="0.3">
      <c r="A208" s="72" t="s">
        <v>273</v>
      </c>
      <c r="B208" s="72" t="s">
        <v>867</v>
      </c>
      <c r="C208" s="74">
        <v>2017</v>
      </c>
      <c r="D208" s="81">
        <v>183.21</v>
      </c>
      <c r="E208" s="72" t="s">
        <v>1958</v>
      </c>
      <c r="F208" s="76" t="s">
        <v>1959</v>
      </c>
      <c r="G208" s="72" t="s">
        <v>47</v>
      </c>
      <c r="H208" s="72" t="s">
        <v>1905</v>
      </c>
      <c r="I208" s="72" t="s">
        <v>1893</v>
      </c>
      <c r="J208" s="77" t="s">
        <v>1893</v>
      </c>
      <c r="K208" s="77"/>
      <c r="L208" s="77"/>
      <c r="M208" s="78" t="s">
        <v>1824</v>
      </c>
      <c r="N208" s="78" t="s">
        <v>1825</v>
      </c>
      <c r="O208" s="78"/>
      <c r="P208" s="80">
        <v>183.21</v>
      </c>
    </row>
    <row r="209" spans="1:16" x14ac:dyDescent="0.3">
      <c r="A209" s="72" t="s">
        <v>143</v>
      </c>
      <c r="B209" s="72" t="s">
        <v>883</v>
      </c>
      <c r="C209" s="74">
        <v>2017</v>
      </c>
      <c r="D209" s="81">
        <v>139.56</v>
      </c>
      <c r="E209" s="72" t="s">
        <v>1958</v>
      </c>
      <c r="F209" s="76" t="s">
        <v>1959</v>
      </c>
      <c r="G209" s="72" t="s">
        <v>47</v>
      </c>
      <c r="H209" s="72" t="s">
        <v>1905</v>
      </c>
      <c r="I209" s="72" t="s">
        <v>1893</v>
      </c>
      <c r="J209" s="77" t="s">
        <v>1893</v>
      </c>
      <c r="K209" s="77"/>
      <c r="L209" s="77"/>
      <c r="M209" s="78" t="s">
        <v>1824</v>
      </c>
      <c r="N209" s="78" t="s">
        <v>1825</v>
      </c>
      <c r="O209" s="78"/>
      <c r="P209" s="80">
        <v>139.56</v>
      </c>
    </row>
    <row r="210" spans="1:16" x14ac:dyDescent="0.3">
      <c r="A210" s="72" t="s">
        <v>156</v>
      </c>
      <c r="B210" s="72" t="s">
        <v>886</v>
      </c>
      <c r="C210" s="74">
        <v>2017</v>
      </c>
      <c r="D210" s="81">
        <v>184.64</v>
      </c>
      <c r="E210" s="72" t="s">
        <v>1958</v>
      </c>
      <c r="F210" s="76" t="s">
        <v>1959</v>
      </c>
      <c r="G210" s="72" t="s">
        <v>47</v>
      </c>
      <c r="H210" s="72" t="s">
        <v>1905</v>
      </c>
      <c r="I210" s="72" t="s">
        <v>1893</v>
      </c>
      <c r="J210" s="77" t="s">
        <v>1893</v>
      </c>
      <c r="K210" s="77"/>
      <c r="L210" s="77"/>
      <c r="M210" s="78" t="s">
        <v>1824</v>
      </c>
      <c r="N210" s="78" t="s">
        <v>1825</v>
      </c>
      <c r="O210" s="78"/>
      <c r="P210" s="80">
        <v>184.64</v>
      </c>
    </row>
    <row r="211" spans="1:16" x14ac:dyDescent="0.3">
      <c r="A211" s="72" t="s">
        <v>155</v>
      </c>
      <c r="B211" s="72" t="s">
        <v>889</v>
      </c>
      <c r="C211" s="74">
        <v>2017</v>
      </c>
      <c r="D211" s="81">
        <v>168.47</v>
      </c>
      <c r="E211" s="72" t="s">
        <v>1958</v>
      </c>
      <c r="F211" s="76" t="s">
        <v>1959</v>
      </c>
      <c r="G211" s="72" t="s">
        <v>47</v>
      </c>
      <c r="H211" s="72" t="s">
        <v>1905</v>
      </c>
      <c r="I211" s="72" t="s">
        <v>1893</v>
      </c>
      <c r="J211" s="77" t="s">
        <v>1893</v>
      </c>
      <c r="K211" s="77"/>
      <c r="L211" s="77"/>
      <c r="M211" s="78" t="s">
        <v>1824</v>
      </c>
      <c r="N211" s="78" t="s">
        <v>1825</v>
      </c>
      <c r="O211" s="78"/>
      <c r="P211" s="80">
        <v>168.47</v>
      </c>
    </row>
    <row r="212" spans="1:16" x14ac:dyDescent="0.3">
      <c r="A212" s="72" t="s">
        <v>165</v>
      </c>
      <c r="B212" s="72" t="s">
        <v>892</v>
      </c>
      <c r="C212" s="74">
        <v>2017</v>
      </c>
      <c r="D212" s="81">
        <v>213.55</v>
      </c>
      <c r="E212" s="72" t="s">
        <v>1958</v>
      </c>
      <c r="F212" s="76" t="s">
        <v>1959</v>
      </c>
      <c r="G212" s="72" t="s">
        <v>47</v>
      </c>
      <c r="H212" s="72" t="s">
        <v>1905</v>
      </c>
      <c r="I212" s="72" t="s">
        <v>1893</v>
      </c>
      <c r="J212" s="77" t="s">
        <v>1893</v>
      </c>
      <c r="K212" s="77"/>
      <c r="L212" s="77"/>
      <c r="M212" s="78" t="s">
        <v>1824</v>
      </c>
      <c r="N212" s="78" t="s">
        <v>1825</v>
      </c>
      <c r="O212" s="78"/>
      <c r="P212" s="80">
        <v>213.55</v>
      </c>
    </row>
    <row r="213" spans="1:16" x14ac:dyDescent="0.3">
      <c r="A213" s="72" t="s">
        <v>228</v>
      </c>
      <c r="B213" s="72" t="s">
        <v>908</v>
      </c>
      <c r="C213" s="74">
        <v>2017</v>
      </c>
      <c r="D213" s="81">
        <v>153.21</v>
      </c>
      <c r="E213" s="72" t="s">
        <v>1958</v>
      </c>
      <c r="F213" s="76" t="s">
        <v>1959</v>
      </c>
      <c r="G213" s="72" t="s">
        <v>47</v>
      </c>
      <c r="H213" s="72" t="s">
        <v>1905</v>
      </c>
      <c r="I213" s="72" t="s">
        <v>1893</v>
      </c>
      <c r="J213" s="77" t="s">
        <v>1893</v>
      </c>
      <c r="K213" s="77"/>
      <c r="L213" s="77"/>
      <c r="M213" s="78" t="s">
        <v>1824</v>
      </c>
      <c r="N213" s="78" t="s">
        <v>1825</v>
      </c>
      <c r="O213" s="78"/>
      <c r="P213" s="80">
        <v>153.21</v>
      </c>
    </row>
    <row r="214" spans="1:16" x14ac:dyDescent="0.3">
      <c r="A214" s="72" t="s">
        <v>364</v>
      </c>
      <c r="B214" s="72" t="s">
        <v>911</v>
      </c>
      <c r="C214" s="74">
        <v>2017</v>
      </c>
      <c r="D214" s="81">
        <v>194.25</v>
      </c>
      <c r="E214" s="72" t="s">
        <v>1958</v>
      </c>
      <c r="F214" s="76" t="s">
        <v>1959</v>
      </c>
      <c r="G214" s="72" t="s">
        <v>47</v>
      </c>
      <c r="H214" s="72" t="s">
        <v>1905</v>
      </c>
      <c r="I214" s="72" t="s">
        <v>1893</v>
      </c>
      <c r="J214" s="77" t="s">
        <v>1893</v>
      </c>
      <c r="K214" s="77"/>
      <c r="L214" s="77"/>
      <c r="M214" s="78" t="s">
        <v>1824</v>
      </c>
      <c r="N214" s="78" t="s">
        <v>1825</v>
      </c>
      <c r="O214" s="78"/>
      <c r="P214" s="80">
        <v>194.25</v>
      </c>
    </row>
    <row r="215" spans="1:16" x14ac:dyDescent="0.3">
      <c r="A215" s="72" t="s">
        <v>380</v>
      </c>
      <c r="B215" s="72" t="s">
        <v>914</v>
      </c>
      <c r="C215" s="74">
        <v>2017</v>
      </c>
      <c r="D215" s="81">
        <v>187.16</v>
      </c>
      <c r="E215" s="72" t="s">
        <v>1958</v>
      </c>
      <c r="F215" s="76" t="s">
        <v>1959</v>
      </c>
      <c r="G215" s="72" t="s">
        <v>47</v>
      </c>
      <c r="H215" s="72" t="s">
        <v>1905</v>
      </c>
      <c r="I215" s="72" t="s">
        <v>1893</v>
      </c>
      <c r="J215" s="77" t="s">
        <v>1893</v>
      </c>
      <c r="K215" s="77"/>
      <c r="L215" s="77"/>
      <c r="M215" s="78" t="s">
        <v>1824</v>
      </c>
      <c r="N215" s="78" t="s">
        <v>1825</v>
      </c>
      <c r="O215" s="78"/>
      <c r="P215" s="80">
        <v>187.16</v>
      </c>
    </row>
    <row r="216" spans="1:16" x14ac:dyDescent="0.3">
      <c r="A216" s="72" t="s">
        <v>289</v>
      </c>
      <c r="B216" s="72" t="s">
        <v>917</v>
      </c>
      <c r="C216" s="74">
        <v>2017</v>
      </c>
      <c r="D216" s="81">
        <v>228.22</v>
      </c>
      <c r="E216" s="72" t="s">
        <v>1958</v>
      </c>
      <c r="F216" s="76" t="s">
        <v>1959</v>
      </c>
      <c r="G216" s="72" t="s">
        <v>47</v>
      </c>
      <c r="H216" s="72" t="s">
        <v>1905</v>
      </c>
      <c r="I216" s="72" t="s">
        <v>1893</v>
      </c>
      <c r="J216" s="77" t="s">
        <v>1893</v>
      </c>
      <c r="K216" s="77"/>
      <c r="L216" s="77"/>
      <c r="M216" s="78" t="s">
        <v>1824</v>
      </c>
      <c r="N216" s="78" t="s">
        <v>1825</v>
      </c>
      <c r="O216" s="78"/>
      <c r="P216" s="80">
        <v>228.22</v>
      </c>
    </row>
    <row r="217" spans="1:16" x14ac:dyDescent="0.3">
      <c r="A217" s="72" t="s">
        <v>162</v>
      </c>
      <c r="B217" s="72" t="s">
        <v>933</v>
      </c>
      <c r="C217" s="74">
        <v>2017</v>
      </c>
      <c r="D217" s="81">
        <v>171.09</v>
      </c>
      <c r="E217" s="72" t="s">
        <v>1958</v>
      </c>
      <c r="F217" s="76" t="s">
        <v>1959</v>
      </c>
      <c r="G217" s="72" t="s">
        <v>47</v>
      </c>
      <c r="H217" s="72" t="s">
        <v>1905</v>
      </c>
      <c r="I217" s="72" t="s">
        <v>1893</v>
      </c>
      <c r="J217" s="77" t="s">
        <v>1893</v>
      </c>
      <c r="K217" s="77"/>
      <c r="L217" s="77"/>
      <c r="M217" s="78" t="s">
        <v>1824</v>
      </c>
      <c r="N217" s="78" t="s">
        <v>1825</v>
      </c>
      <c r="O217" s="78"/>
      <c r="P217" s="80">
        <v>171.09</v>
      </c>
    </row>
    <row r="218" spans="1:16" x14ac:dyDescent="0.3">
      <c r="A218" s="72" t="s">
        <v>68</v>
      </c>
      <c r="B218" s="72" t="s">
        <v>936</v>
      </c>
      <c r="C218" s="74">
        <v>2017</v>
      </c>
      <c r="D218" s="81">
        <v>205.53</v>
      </c>
      <c r="E218" s="72" t="s">
        <v>1958</v>
      </c>
      <c r="F218" s="76" t="s">
        <v>1959</v>
      </c>
      <c r="G218" s="72" t="s">
        <v>47</v>
      </c>
      <c r="H218" s="72" t="s">
        <v>1905</v>
      </c>
      <c r="I218" s="72" t="s">
        <v>1893</v>
      </c>
      <c r="J218" s="77" t="s">
        <v>1893</v>
      </c>
      <c r="K218" s="77"/>
      <c r="L218" s="77"/>
      <c r="M218" s="78" t="s">
        <v>1824</v>
      </c>
      <c r="N218" s="78" t="s">
        <v>1825</v>
      </c>
      <c r="O218" s="78"/>
      <c r="P218" s="80">
        <v>205.53</v>
      </c>
    </row>
    <row r="219" spans="1:16" x14ac:dyDescent="0.3">
      <c r="A219" s="72" t="s">
        <v>178</v>
      </c>
      <c r="B219" s="72" t="s">
        <v>939</v>
      </c>
      <c r="C219" s="74">
        <v>2017</v>
      </c>
      <c r="D219" s="81">
        <v>201.71</v>
      </c>
      <c r="E219" s="72" t="s">
        <v>1958</v>
      </c>
      <c r="F219" s="76" t="s">
        <v>1959</v>
      </c>
      <c r="G219" s="72" t="s">
        <v>47</v>
      </c>
      <c r="H219" s="72" t="s">
        <v>1905</v>
      </c>
      <c r="I219" s="72" t="s">
        <v>1893</v>
      </c>
      <c r="J219" s="77" t="s">
        <v>1893</v>
      </c>
      <c r="K219" s="77"/>
      <c r="L219" s="77"/>
      <c r="M219" s="78" t="s">
        <v>1824</v>
      </c>
      <c r="N219" s="78" t="s">
        <v>1825</v>
      </c>
      <c r="O219" s="78"/>
      <c r="P219" s="80">
        <v>201.71</v>
      </c>
    </row>
    <row r="220" spans="1:16" x14ac:dyDescent="0.3">
      <c r="A220" s="72" t="s">
        <v>134</v>
      </c>
      <c r="B220" s="72" t="s">
        <v>942</v>
      </c>
      <c r="C220" s="74">
        <v>2017</v>
      </c>
      <c r="D220" s="81">
        <v>236.14</v>
      </c>
      <c r="E220" s="72" t="s">
        <v>1958</v>
      </c>
      <c r="F220" s="76" t="s">
        <v>1959</v>
      </c>
      <c r="G220" s="72" t="s">
        <v>47</v>
      </c>
      <c r="H220" s="72" t="s">
        <v>1905</v>
      </c>
      <c r="I220" s="72" t="s">
        <v>1893</v>
      </c>
      <c r="J220" s="77" t="s">
        <v>1893</v>
      </c>
      <c r="K220" s="77"/>
      <c r="L220" s="77"/>
      <c r="M220" s="78" t="s">
        <v>1824</v>
      </c>
      <c r="N220" s="78" t="s">
        <v>1825</v>
      </c>
      <c r="O220" s="78"/>
      <c r="P220" s="80">
        <v>236.14</v>
      </c>
    </row>
    <row r="221" spans="1:16" x14ac:dyDescent="0.3">
      <c r="A221" s="72" t="s">
        <v>360</v>
      </c>
      <c r="B221" s="72" t="s">
        <v>957</v>
      </c>
      <c r="C221" s="74">
        <v>2017</v>
      </c>
      <c r="D221" s="81">
        <v>103.89</v>
      </c>
      <c r="E221" s="72" t="s">
        <v>1958</v>
      </c>
      <c r="F221" s="76" t="s">
        <v>1959</v>
      </c>
      <c r="G221" s="72" t="s">
        <v>47</v>
      </c>
      <c r="H221" s="72" t="s">
        <v>1905</v>
      </c>
      <c r="I221" s="72" t="s">
        <v>1893</v>
      </c>
      <c r="J221" s="77" t="s">
        <v>1893</v>
      </c>
      <c r="K221" s="77"/>
      <c r="L221" s="77"/>
      <c r="M221" s="78" t="s">
        <v>1824</v>
      </c>
      <c r="N221" s="78" t="s">
        <v>1825</v>
      </c>
      <c r="O221" s="78"/>
      <c r="P221" s="80">
        <v>103.89</v>
      </c>
    </row>
    <row r="222" spans="1:16" x14ac:dyDescent="0.3">
      <c r="A222" s="72" t="s">
        <v>65</v>
      </c>
      <c r="B222" s="72" t="s">
        <v>960</v>
      </c>
      <c r="C222" s="74">
        <v>2017</v>
      </c>
      <c r="D222" s="81">
        <v>154.74</v>
      </c>
      <c r="E222" s="72" t="s">
        <v>1958</v>
      </c>
      <c r="F222" s="76" t="s">
        <v>1959</v>
      </c>
      <c r="G222" s="72" t="s">
        <v>47</v>
      </c>
      <c r="H222" s="72" t="s">
        <v>1905</v>
      </c>
      <c r="I222" s="72" t="s">
        <v>1893</v>
      </c>
      <c r="J222" s="77" t="s">
        <v>1893</v>
      </c>
      <c r="K222" s="77"/>
      <c r="L222" s="77"/>
      <c r="M222" s="78" t="s">
        <v>1824</v>
      </c>
      <c r="N222" s="78" t="s">
        <v>1825</v>
      </c>
      <c r="O222" s="78"/>
      <c r="P222" s="80">
        <v>154.74</v>
      </c>
    </row>
    <row r="223" spans="1:16" x14ac:dyDescent="0.3">
      <c r="A223" s="72" t="s">
        <v>307</v>
      </c>
      <c r="B223" s="72" t="s">
        <v>963</v>
      </c>
      <c r="C223" s="74">
        <v>2017</v>
      </c>
      <c r="D223" s="81">
        <v>114.79</v>
      </c>
      <c r="E223" s="72" t="s">
        <v>1958</v>
      </c>
      <c r="F223" s="76" t="s">
        <v>1959</v>
      </c>
      <c r="G223" s="72" t="s">
        <v>47</v>
      </c>
      <c r="H223" s="72" t="s">
        <v>1905</v>
      </c>
      <c r="I223" s="72" t="s">
        <v>1893</v>
      </c>
      <c r="J223" s="77" t="s">
        <v>1893</v>
      </c>
      <c r="K223" s="77"/>
      <c r="L223" s="77"/>
      <c r="M223" s="78" t="s">
        <v>1824</v>
      </c>
      <c r="N223" s="78" t="s">
        <v>1825</v>
      </c>
      <c r="O223" s="78"/>
      <c r="P223" s="80">
        <v>114.79</v>
      </c>
    </row>
    <row r="224" spans="1:16" x14ac:dyDescent="0.3">
      <c r="A224" s="72" t="s">
        <v>57</v>
      </c>
      <c r="B224" s="72" t="s">
        <v>966</v>
      </c>
      <c r="C224" s="74">
        <v>2017</v>
      </c>
      <c r="D224" s="81">
        <v>165.65</v>
      </c>
      <c r="E224" s="72" t="s">
        <v>1958</v>
      </c>
      <c r="F224" s="76" t="s">
        <v>1959</v>
      </c>
      <c r="G224" s="72" t="s">
        <v>47</v>
      </c>
      <c r="H224" s="72" t="s">
        <v>1905</v>
      </c>
      <c r="I224" s="72" t="s">
        <v>1893</v>
      </c>
      <c r="J224" s="77" t="s">
        <v>1893</v>
      </c>
      <c r="K224" s="77"/>
      <c r="L224" s="77"/>
      <c r="M224" s="78" t="s">
        <v>1824</v>
      </c>
      <c r="N224" s="78" t="s">
        <v>1825</v>
      </c>
      <c r="O224" s="78"/>
      <c r="P224" s="80">
        <v>165.65</v>
      </c>
    </row>
    <row r="225" spans="1:16" x14ac:dyDescent="0.3">
      <c r="A225" s="72" t="s">
        <v>173</v>
      </c>
      <c r="B225" s="72" t="s">
        <v>981</v>
      </c>
      <c r="C225" s="74">
        <v>2017</v>
      </c>
      <c r="D225" s="81">
        <v>203.14</v>
      </c>
      <c r="E225" s="72" t="s">
        <v>1958</v>
      </c>
      <c r="F225" s="76" t="s">
        <v>1959</v>
      </c>
      <c r="G225" s="72" t="s">
        <v>47</v>
      </c>
      <c r="H225" s="72" t="s">
        <v>1905</v>
      </c>
      <c r="I225" s="72" t="s">
        <v>1893</v>
      </c>
      <c r="J225" s="77" t="s">
        <v>1893</v>
      </c>
      <c r="K225" s="77"/>
      <c r="L225" s="77"/>
      <c r="M225" s="78" t="s">
        <v>1824</v>
      </c>
      <c r="N225" s="78" t="s">
        <v>1825</v>
      </c>
      <c r="O225" s="78"/>
      <c r="P225" s="80">
        <v>203.14</v>
      </c>
    </row>
    <row r="226" spans="1:16" x14ac:dyDescent="0.3">
      <c r="A226" s="72" t="s">
        <v>88</v>
      </c>
      <c r="B226" s="72" t="s">
        <v>984</v>
      </c>
      <c r="C226" s="74">
        <v>2017</v>
      </c>
      <c r="D226" s="81">
        <v>268.33</v>
      </c>
      <c r="E226" s="72" t="s">
        <v>1958</v>
      </c>
      <c r="F226" s="76" t="s">
        <v>1959</v>
      </c>
      <c r="G226" s="72" t="s">
        <v>47</v>
      </c>
      <c r="H226" s="72" t="s">
        <v>1905</v>
      </c>
      <c r="I226" s="72" t="s">
        <v>1893</v>
      </c>
      <c r="J226" s="77" t="s">
        <v>1893</v>
      </c>
      <c r="K226" s="77"/>
      <c r="L226" s="77"/>
      <c r="M226" s="78" t="s">
        <v>1824</v>
      </c>
      <c r="N226" s="78" t="s">
        <v>1825</v>
      </c>
      <c r="O226" s="78"/>
      <c r="P226" s="80">
        <v>268.33</v>
      </c>
    </row>
    <row r="227" spans="1:16" x14ac:dyDescent="0.3">
      <c r="A227" s="72" t="s">
        <v>227</v>
      </c>
      <c r="B227" s="72" t="s">
        <v>987</v>
      </c>
      <c r="C227" s="74">
        <v>2017</v>
      </c>
      <c r="D227" s="81">
        <v>224.96</v>
      </c>
      <c r="E227" s="72" t="s">
        <v>1958</v>
      </c>
      <c r="F227" s="76" t="s">
        <v>1959</v>
      </c>
      <c r="G227" s="72" t="s">
        <v>47</v>
      </c>
      <c r="H227" s="72" t="s">
        <v>1905</v>
      </c>
      <c r="I227" s="72" t="s">
        <v>1893</v>
      </c>
      <c r="J227" s="77" t="s">
        <v>1893</v>
      </c>
      <c r="K227" s="77"/>
      <c r="L227" s="77"/>
      <c r="M227" s="78" t="s">
        <v>1824</v>
      </c>
      <c r="N227" s="78" t="s">
        <v>1825</v>
      </c>
      <c r="O227" s="78"/>
      <c r="P227" s="80">
        <v>224.96</v>
      </c>
    </row>
    <row r="228" spans="1:16" x14ac:dyDescent="0.3">
      <c r="A228" s="72" t="s">
        <v>186</v>
      </c>
      <c r="B228" s="72" t="s">
        <v>990</v>
      </c>
      <c r="C228" s="74">
        <v>2017</v>
      </c>
      <c r="D228" s="81">
        <v>290.13</v>
      </c>
      <c r="E228" s="72" t="s">
        <v>1958</v>
      </c>
      <c r="F228" s="76" t="s">
        <v>1959</v>
      </c>
      <c r="G228" s="72" t="s">
        <v>47</v>
      </c>
      <c r="H228" s="72" t="s">
        <v>1905</v>
      </c>
      <c r="I228" s="72" t="s">
        <v>1893</v>
      </c>
      <c r="J228" s="77" t="s">
        <v>1893</v>
      </c>
      <c r="K228" s="77"/>
      <c r="L228" s="77"/>
      <c r="M228" s="78" t="s">
        <v>1824</v>
      </c>
      <c r="N228" s="78" t="s">
        <v>1825</v>
      </c>
      <c r="O228" s="78"/>
      <c r="P228" s="80">
        <v>290.13</v>
      </c>
    </row>
    <row r="229" spans="1:16" x14ac:dyDescent="0.3">
      <c r="A229" s="72" t="s">
        <v>195</v>
      </c>
      <c r="B229" s="72" t="s">
        <v>1005</v>
      </c>
      <c r="C229" s="74">
        <v>2017</v>
      </c>
      <c r="D229" s="81">
        <v>236.86</v>
      </c>
      <c r="E229" s="72" t="s">
        <v>1958</v>
      </c>
      <c r="F229" s="76" t="s">
        <v>1959</v>
      </c>
      <c r="G229" s="72" t="s">
        <v>47</v>
      </c>
      <c r="H229" s="72" t="s">
        <v>1905</v>
      </c>
      <c r="I229" s="72" t="s">
        <v>1893</v>
      </c>
      <c r="J229" s="77" t="s">
        <v>1893</v>
      </c>
      <c r="K229" s="77"/>
      <c r="L229" s="77"/>
      <c r="M229" s="78" t="s">
        <v>1824</v>
      </c>
      <c r="N229" s="78" t="s">
        <v>1825</v>
      </c>
      <c r="O229" s="78"/>
      <c r="P229" s="80">
        <v>236.86</v>
      </c>
    </row>
    <row r="230" spans="1:16" x14ac:dyDescent="0.3">
      <c r="A230" s="72" t="s">
        <v>325</v>
      </c>
      <c r="B230" s="72" t="s">
        <v>1008</v>
      </c>
      <c r="C230" s="74">
        <v>2017</v>
      </c>
      <c r="D230" s="81">
        <v>311.61</v>
      </c>
      <c r="E230" s="72" t="s">
        <v>1958</v>
      </c>
      <c r="F230" s="76" t="s">
        <v>1959</v>
      </c>
      <c r="G230" s="72" t="s">
        <v>47</v>
      </c>
      <c r="H230" s="72" t="s">
        <v>1905</v>
      </c>
      <c r="I230" s="72" t="s">
        <v>1893</v>
      </c>
      <c r="J230" s="77" t="s">
        <v>1893</v>
      </c>
      <c r="K230" s="77"/>
      <c r="L230" s="77"/>
      <c r="M230" s="78" t="s">
        <v>1824</v>
      </c>
      <c r="N230" s="78" t="s">
        <v>1825</v>
      </c>
      <c r="O230" s="78"/>
      <c r="P230" s="80">
        <v>311.61</v>
      </c>
    </row>
    <row r="231" spans="1:16" x14ac:dyDescent="0.3">
      <c r="A231" s="72" t="s">
        <v>103</v>
      </c>
      <c r="B231" s="72" t="s">
        <v>1011</v>
      </c>
      <c r="C231" s="74">
        <v>2017</v>
      </c>
      <c r="D231" s="81">
        <v>258.66000000000003</v>
      </c>
      <c r="E231" s="72" t="s">
        <v>1958</v>
      </c>
      <c r="F231" s="76" t="s">
        <v>1959</v>
      </c>
      <c r="G231" s="72" t="s">
        <v>47</v>
      </c>
      <c r="H231" s="72" t="s">
        <v>1905</v>
      </c>
      <c r="I231" s="72" t="s">
        <v>1893</v>
      </c>
      <c r="J231" s="77" t="s">
        <v>1893</v>
      </c>
      <c r="K231" s="77"/>
      <c r="L231" s="77"/>
      <c r="M231" s="78" t="s">
        <v>1824</v>
      </c>
      <c r="N231" s="78" t="s">
        <v>1825</v>
      </c>
      <c r="O231" s="78"/>
      <c r="P231" s="80">
        <v>258.66000000000003</v>
      </c>
    </row>
    <row r="232" spans="1:16" x14ac:dyDescent="0.3">
      <c r="A232" s="72" t="s">
        <v>124</v>
      </c>
      <c r="B232" s="72" t="s">
        <v>1014</v>
      </c>
      <c r="C232" s="74">
        <v>2017</v>
      </c>
      <c r="D232" s="81">
        <v>333.43</v>
      </c>
      <c r="E232" s="72" t="s">
        <v>1958</v>
      </c>
      <c r="F232" s="76" t="s">
        <v>1959</v>
      </c>
      <c r="G232" s="72" t="s">
        <v>47</v>
      </c>
      <c r="H232" s="72" t="s">
        <v>1905</v>
      </c>
      <c r="I232" s="72" t="s">
        <v>1893</v>
      </c>
      <c r="J232" s="77" t="s">
        <v>1893</v>
      </c>
      <c r="K232" s="77"/>
      <c r="L232" s="77"/>
      <c r="M232" s="78" t="s">
        <v>1824</v>
      </c>
      <c r="N232" s="78" t="s">
        <v>1825</v>
      </c>
      <c r="O232" s="78"/>
      <c r="P232" s="80">
        <v>333.43</v>
      </c>
    </row>
    <row r="233" spans="1:16" x14ac:dyDescent="0.3">
      <c r="A233" s="72" t="s">
        <v>190</v>
      </c>
      <c r="B233" s="72" t="s">
        <v>1029</v>
      </c>
      <c r="C233" s="74">
        <v>2017</v>
      </c>
      <c r="D233" s="81">
        <v>152.08000000000001</v>
      </c>
      <c r="E233" s="72" t="s">
        <v>1958</v>
      </c>
      <c r="F233" s="76" t="s">
        <v>1959</v>
      </c>
      <c r="G233" s="72" t="s">
        <v>47</v>
      </c>
      <c r="H233" s="72" t="s">
        <v>1905</v>
      </c>
      <c r="I233" s="72" t="s">
        <v>1893</v>
      </c>
      <c r="J233" s="77" t="s">
        <v>1893</v>
      </c>
      <c r="K233" s="77"/>
      <c r="L233" s="77"/>
      <c r="M233" s="78" t="s">
        <v>1824</v>
      </c>
      <c r="N233" s="78" t="s">
        <v>1825</v>
      </c>
      <c r="O233" s="78"/>
      <c r="P233" s="80">
        <v>152.08000000000001</v>
      </c>
    </row>
    <row r="234" spans="1:16" x14ac:dyDescent="0.3">
      <c r="A234" s="72" t="s">
        <v>264</v>
      </c>
      <c r="B234" s="72" t="s">
        <v>1032</v>
      </c>
      <c r="C234" s="74">
        <v>2017</v>
      </c>
      <c r="D234" s="81">
        <v>202.92</v>
      </c>
      <c r="E234" s="72" t="s">
        <v>1958</v>
      </c>
      <c r="F234" s="76" t="s">
        <v>1959</v>
      </c>
      <c r="G234" s="72" t="s">
        <v>47</v>
      </c>
      <c r="H234" s="72" t="s">
        <v>1905</v>
      </c>
      <c r="I234" s="72" t="s">
        <v>1893</v>
      </c>
      <c r="J234" s="77" t="s">
        <v>1893</v>
      </c>
      <c r="K234" s="77"/>
      <c r="L234" s="77"/>
      <c r="M234" s="78" t="s">
        <v>1824</v>
      </c>
      <c r="N234" s="78" t="s">
        <v>1825</v>
      </c>
      <c r="O234" s="78"/>
      <c r="P234" s="80">
        <v>202.92</v>
      </c>
    </row>
    <row r="235" spans="1:16" x14ac:dyDescent="0.3">
      <c r="A235" s="72" t="s">
        <v>376</v>
      </c>
      <c r="B235" s="72" t="s">
        <v>1035</v>
      </c>
      <c r="C235" s="74">
        <v>2017</v>
      </c>
      <c r="D235" s="81">
        <v>173.88</v>
      </c>
      <c r="E235" s="72" t="s">
        <v>1958</v>
      </c>
      <c r="F235" s="76" t="s">
        <v>1959</v>
      </c>
      <c r="G235" s="72" t="s">
        <v>47</v>
      </c>
      <c r="H235" s="72" t="s">
        <v>1905</v>
      </c>
      <c r="I235" s="72" t="s">
        <v>1893</v>
      </c>
      <c r="J235" s="77" t="s">
        <v>1893</v>
      </c>
      <c r="K235" s="77"/>
      <c r="L235" s="77"/>
      <c r="M235" s="78" t="s">
        <v>1824</v>
      </c>
      <c r="N235" s="78" t="s">
        <v>1825</v>
      </c>
      <c r="O235" s="78"/>
      <c r="P235" s="80">
        <v>173.88</v>
      </c>
    </row>
    <row r="236" spans="1:16" x14ac:dyDescent="0.3">
      <c r="A236" s="72" t="s">
        <v>336</v>
      </c>
      <c r="B236" s="72" t="s">
        <v>1038</v>
      </c>
      <c r="C236" s="74">
        <v>2017</v>
      </c>
      <c r="D236" s="81">
        <v>224.72</v>
      </c>
      <c r="E236" s="72" t="s">
        <v>1958</v>
      </c>
      <c r="F236" s="76" t="s">
        <v>1959</v>
      </c>
      <c r="G236" s="72" t="s">
        <v>47</v>
      </c>
      <c r="H236" s="72" t="s">
        <v>1905</v>
      </c>
      <c r="I236" s="72" t="s">
        <v>1893</v>
      </c>
      <c r="J236" s="77" t="s">
        <v>1893</v>
      </c>
      <c r="K236" s="77"/>
      <c r="L236" s="77"/>
      <c r="M236" s="78" t="s">
        <v>1824</v>
      </c>
      <c r="N236" s="78" t="s">
        <v>1825</v>
      </c>
      <c r="O236" s="78"/>
      <c r="P236" s="80">
        <v>224.72</v>
      </c>
    </row>
    <row r="237" spans="1:16" x14ac:dyDescent="0.3">
      <c r="A237" s="72" t="s">
        <v>113</v>
      </c>
      <c r="B237" s="72" t="s">
        <v>1053</v>
      </c>
      <c r="C237" s="74">
        <v>2017</v>
      </c>
      <c r="D237" s="81">
        <v>69.739999999999995</v>
      </c>
      <c r="E237" s="72" t="s">
        <v>1958</v>
      </c>
      <c r="F237" s="76" t="s">
        <v>1959</v>
      </c>
      <c r="G237" s="72" t="s">
        <v>47</v>
      </c>
      <c r="H237" s="72" t="s">
        <v>1905</v>
      </c>
      <c r="I237" s="72" t="s">
        <v>1893</v>
      </c>
      <c r="J237" s="77" t="s">
        <v>1893</v>
      </c>
      <c r="K237" s="77"/>
      <c r="L237" s="77"/>
      <c r="M237" s="78" t="s">
        <v>1824</v>
      </c>
      <c r="N237" s="78" t="s">
        <v>1825</v>
      </c>
      <c r="O237" s="78"/>
      <c r="P237" s="80">
        <v>69.739999999999995</v>
      </c>
    </row>
    <row r="238" spans="1:16" x14ac:dyDescent="0.3">
      <c r="A238" s="72" t="s">
        <v>344</v>
      </c>
      <c r="B238" s="72" t="s">
        <v>1056</v>
      </c>
      <c r="C238" s="74">
        <v>2017</v>
      </c>
      <c r="D238" s="81">
        <v>112.11</v>
      </c>
      <c r="E238" s="72" t="s">
        <v>1958</v>
      </c>
      <c r="F238" s="76" t="s">
        <v>1959</v>
      </c>
      <c r="G238" s="72" t="s">
        <v>47</v>
      </c>
      <c r="H238" s="72" t="s">
        <v>1905</v>
      </c>
      <c r="I238" s="72" t="s">
        <v>1893</v>
      </c>
      <c r="J238" s="77" t="s">
        <v>1893</v>
      </c>
      <c r="K238" s="77"/>
      <c r="L238" s="77"/>
      <c r="M238" s="78" t="s">
        <v>1824</v>
      </c>
      <c r="N238" s="78" t="s">
        <v>1825</v>
      </c>
      <c r="O238" s="78"/>
      <c r="P238" s="80">
        <v>112.11</v>
      </c>
    </row>
    <row r="239" spans="1:16" x14ac:dyDescent="0.3">
      <c r="A239" s="72" t="s">
        <v>200</v>
      </c>
      <c r="B239" s="72" t="s">
        <v>1065</v>
      </c>
      <c r="C239" s="74">
        <v>2017</v>
      </c>
      <c r="D239" s="81">
        <v>103.41</v>
      </c>
      <c r="E239" s="72" t="s">
        <v>1958</v>
      </c>
      <c r="F239" s="76" t="s">
        <v>1959</v>
      </c>
      <c r="G239" s="72" t="s">
        <v>47</v>
      </c>
      <c r="H239" s="72" t="s">
        <v>1905</v>
      </c>
      <c r="I239" s="72" t="s">
        <v>1893</v>
      </c>
      <c r="J239" s="77" t="s">
        <v>1893</v>
      </c>
      <c r="K239" s="77"/>
      <c r="L239" s="77"/>
      <c r="M239" s="78" t="s">
        <v>1824</v>
      </c>
      <c r="N239" s="78" t="s">
        <v>1825</v>
      </c>
      <c r="O239" s="78"/>
      <c r="P239" s="80">
        <v>103.41</v>
      </c>
    </row>
    <row r="240" spans="1:16" x14ac:dyDescent="0.3">
      <c r="A240" s="72" t="s">
        <v>248</v>
      </c>
      <c r="B240" s="72" t="s">
        <v>1068</v>
      </c>
      <c r="C240" s="74">
        <v>2017</v>
      </c>
      <c r="D240" s="81">
        <v>138.72</v>
      </c>
      <c r="E240" s="72" t="s">
        <v>1958</v>
      </c>
      <c r="F240" s="76" t="s">
        <v>1959</v>
      </c>
      <c r="G240" s="72" t="s">
        <v>47</v>
      </c>
      <c r="H240" s="72" t="s">
        <v>1905</v>
      </c>
      <c r="I240" s="72" t="s">
        <v>1893</v>
      </c>
      <c r="J240" s="77" t="s">
        <v>1893</v>
      </c>
      <c r="K240" s="77"/>
      <c r="L240" s="77"/>
      <c r="M240" s="78" t="s">
        <v>1824</v>
      </c>
      <c r="N240" s="78" t="s">
        <v>1825</v>
      </c>
      <c r="O240" s="78"/>
      <c r="P240" s="80">
        <v>138.72</v>
      </c>
    </row>
    <row r="241" spans="1:16" x14ac:dyDescent="0.3">
      <c r="A241" s="72" t="s">
        <v>224</v>
      </c>
      <c r="B241" s="72" t="s">
        <v>1077</v>
      </c>
      <c r="C241" s="74">
        <v>2017</v>
      </c>
      <c r="D241" s="81">
        <v>126.5</v>
      </c>
      <c r="E241" s="72" t="s">
        <v>1958</v>
      </c>
      <c r="F241" s="76" t="s">
        <v>1959</v>
      </c>
      <c r="G241" s="72" t="s">
        <v>47</v>
      </c>
      <c r="H241" s="72" t="s">
        <v>1905</v>
      </c>
      <c r="I241" s="72" t="s">
        <v>1893</v>
      </c>
      <c r="J241" s="77" t="s">
        <v>1893</v>
      </c>
      <c r="K241" s="77"/>
      <c r="L241" s="77"/>
      <c r="M241" s="78" t="s">
        <v>1824</v>
      </c>
      <c r="N241" s="78" t="s">
        <v>1825</v>
      </c>
      <c r="O241" s="78"/>
      <c r="P241" s="80">
        <v>126.5</v>
      </c>
    </row>
    <row r="242" spans="1:16" x14ac:dyDescent="0.3">
      <c r="A242" s="72" t="s">
        <v>99</v>
      </c>
      <c r="B242" s="72" t="s">
        <v>1080</v>
      </c>
      <c r="C242" s="74">
        <v>2017</v>
      </c>
      <c r="D242" s="81">
        <v>161.80000000000001</v>
      </c>
      <c r="E242" s="72" t="s">
        <v>1958</v>
      </c>
      <c r="F242" s="76" t="s">
        <v>1959</v>
      </c>
      <c r="G242" s="72" t="s">
        <v>47</v>
      </c>
      <c r="H242" s="72" t="s">
        <v>1905</v>
      </c>
      <c r="I242" s="72" t="s">
        <v>1893</v>
      </c>
      <c r="J242" s="77" t="s">
        <v>1893</v>
      </c>
      <c r="K242" s="77"/>
      <c r="L242" s="77"/>
      <c r="M242" s="78" t="s">
        <v>1824</v>
      </c>
      <c r="N242" s="78" t="s">
        <v>1825</v>
      </c>
      <c r="O242" s="78"/>
      <c r="P242" s="80">
        <v>161.80000000000001</v>
      </c>
    </row>
    <row r="243" spans="1:16" x14ac:dyDescent="0.3">
      <c r="A243" s="72" t="s">
        <v>286</v>
      </c>
      <c r="B243" s="72" t="s">
        <v>1083</v>
      </c>
      <c r="C243" s="74">
        <v>2017</v>
      </c>
      <c r="D243" s="81">
        <v>139.57</v>
      </c>
      <c r="E243" s="72" t="s">
        <v>1958</v>
      </c>
      <c r="F243" s="76" t="s">
        <v>1959</v>
      </c>
      <c r="G243" s="72" t="s">
        <v>47</v>
      </c>
      <c r="H243" s="72" t="s">
        <v>1905</v>
      </c>
      <c r="I243" s="72" t="s">
        <v>1893</v>
      </c>
      <c r="J243" s="77" t="s">
        <v>1893</v>
      </c>
      <c r="K243" s="77"/>
      <c r="L243" s="77"/>
      <c r="M243" s="78" t="s">
        <v>1824</v>
      </c>
      <c r="N243" s="78" t="s">
        <v>1825</v>
      </c>
      <c r="O243" s="78"/>
      <c r="P243" s="80">
        <v>139.57</v>
      </c>
    </row>
    <row r="244" spans="1:16" x14ac:dyDescent="0.3">
      <c r="A244" s="72" t="s">
        <v>292</v>
      </c>
      <c r="B244" s="72" t="s">
        <v>1086</v>
      </c>
      <c r="C244" s="74">
        <v>2017</v>
      </c>
      <c r="D244" s="81">
        <v>174.89</v>
      </c>
      <c r="E244" s="72" t="s">
        <v>1958</v>
      </c>
      <c r="F244" s="76" t="s">
        <v>1959</v>
      </c>
      <c r="G244" s="72" t="s">
        <v>47</v>
      </c>
      <c r="H244" s="72" t="s">
        <v>1905</v>
      </c>
      <c r="I244" s="72" t="s">
        <v>1893</v>
      </c>
      <c r="J244" s="77" t="s">
        <v>1893</v>
      </c>
      <c r="K244" s="77"/>
      <c r="L244" s="77"/>
      <c r="M244" s="78" t="s">
        <v>1824</v>
      </c>
      <c r="N244" s="78" t="s">
        <v>1825</v>
      </c>
      <c r="O244" s="78"/>
      <c r="P244" s="80">
        <v>174.89</v>
      </c>
    </row>
    <row r="245" spans="1:16" x14ac:dyDescent="0.3">
      <c r="A245" s="72" t="s">
        <v>304</v>
      </c>
      <c r="B245" s="72" t="s">
        <v>1101</v>
      </c>
      <c r="C245" s="74">
        <v>2017</v>
      </c>
      <c r="D245" s="81">
        <v>160.44999999999999</v>
      </c>
      <c r="E245" s="72" t="s">
        <v>1958</v>
      </c>
      <c r="F245" s="76" t="s">
        <v>1959</v>
      </c>
      <c r="G245" s="72" t="s">
        <v>47</v>
      </c>
      <c r="H245" s="72" t="s">
        <v>1905</v>
      </c>
      <c r="I245" s="72" t="s">
        <v>1893</v>
      </c>
      <c r="J245" s="77" t="s">
        <v>1893</v>
      </c>
      <c r="K245" s="77"/>
      <c r="L245" s="77"/>
      <c r="M245" s="78" t="s">
        <v>1824</v>
      </c>
      <c r="N245" s="78" t="s">
        <v>1825</v>
      </c>
      <c r="O245" s="78"/>
      <c r="P245" s="80">
        <v>160.44999999999999</v>
      </c>
    </row>
    <row r="246" spans="1:16" x14ac:dyDescent="0.3">
      <c r="A246" s="72" t="s">
        <v>203</v>
      </c>
      <c r="B246" s="72" t="s">
        <v>1104</v>
      </c>
      <c r="C246" s="74">
        <v>2017</v>
      </c>
      <c r="D246" s="81">
        <v>208.1</v>
      </c>
      <c r="E246" s="72" t="s">
        <v>1958</v>
      </c>
      <c r="F246" s="76" t="s">
        <v>1959</v>
      </c>
      <c r="G246" s="72" t="s">
        <v>47</v>
      </c>
      <c r="H246" s="72" t="s">
        <v>1905</v>
      </c>
      <c r="I246" s="72" t="s">
        <v>1893</v>
      </c>
      <c r="J246" s="77" t="s">
        <v>1893</v>
      </c>
      <c r="K246" s="77"/>
      <c r="L246" s="77"/>
      <c r="M246" s="78" t="s">
        <v>1824</v>
      </c>
      <c r="N246" s="78" t="s">
        <v>1825</v>
      </c>
      <c r="O246" s="78"/>
      <c r="P246" s="80">
        <v>208.1</v>
      </c>
    </row>
    <row r="247" spans="1:16" x14ac:dyDescent="0.3">
      <c r="A247" s="72" t="s">
        <v>58</v>
      </c>
      <c r="B247" s="72" t="s">
        <v>1107</v>
      </c>
      <c r="C247" s="74">
        <v>2017</v>
      </c>
      <c r="D247" s="81">
        <v>177.17</v>
      </c>
      <c r="E247" s="72" t="s">
        <v>1958</v>
      </c>
      <c r="F247" s="76" t="s">
        <v>1959</v>
      </c>
      <c r="G247" s="72" t="s">
        <v>47</v>
      </c>
      <c r="H247" s="72" t="s">
        <v>1905</v>
      </c>
      <c r="I247" s="72" t="s">
        <v>1893</v>
      </c>
      <c r="J247" s="77" t="s">
        <v>1893</v>
      </c>
      <c r="K247" s="77"/>
      <c r="L247" s="77"/>
      <c r="M247" s="78" t="s">
        <v>1824</v>
      </c>
      <c r="N247" s="78" t="s">
        <v>1825</v>
      </c>
      <c r="O247" s="78"/>
      <c r="P247" s="80">
        <v>177.17</v>
      </c>
    </row>
    <row r="248" spans="1:16" x14ac:dyDescent="0.3">
      <c r="A248" s="72" t="s">
        <v>138</v>
      </c>
      <c r="B248" s="72" t="s">
        <v>1110</v>
      </c>
      <c r="C248" s="74">
        <v>2017</v>
      </c>
      <c r="D248" s="81">
        <v>224.82</v>
      </c>
      <c r="E248" s="72" t="s">
        <v>1958</v>
      </c>
      <c r="F248" s="76" t="s">
        <v>1959</v>
      </c>
      <c r="G248" s="72" t="s">
        <v>47</v>
      </c>
      <c r="H248" s="72" t="s">
        <v>1905</v>
      </c>
      <c r="I248" s="72" t="s">
        <v>1893</v>
      </c>
      <c r="J248" s="77" t="s">
        <v>1893</v>
      </c>
      <c r="K248" s="77"/>
      <c r="L248" s="77"/>
      <c r="M248" s="78" t="s">
        <v>1824</v>
      </c>
      <c r="N248" s="78" t="s">
        <v>1825</v>
      </c>
      <c r="O248" s="78"/>
      <c r="P248" s="80">
        <v>224.82</v>
      </c>
    </row>
    <row r="249" spans="1:16" x14ac:dyDescent="0.3">
      <c r="A249" s="72" t="s">
        <v>285</v>
      </c>
      <c r="B249" s="72" t="s">
        <v>1125</v>
      </c>
      <c r="C249" s="74">
        <v>2017</v>
      </c>
      <c r="D249" s="81">
        <v>176.41</v>
      </c>
      <c r="E249" s="72" t="s">
        <v>1958</v>
      </c>
      <c r="F249" s="76" t="s">
        <v>1959</v>
      </c>
      <c r="G249" s="72" t="s">
        <v>47</v>
      </c>
      <c r="H249" s="72" t="s">
        <v>1905</v>
      </c>
      <c r="I249" s="72" t="s">
        <v>1893</v>
      </c>
      <c r="J249" s="77" t="s">
        <v>1893</v>
      </c>
      <c r="K249" s="77"/>
      <c r="L249" s="77"/>
      <c r="M249" s="78" t="s">
        <v>1824</v>
      </c>
      <c r="N249" s="78" t="s">
        <v>1825</v>
      </c>
      <c r="O249" s="78"/>
      <c r="P249" s="80">
        <v>176.41</v>
      </c>
    </row>
    <row r="250" spans="1:16" x14ac:dyDescent="0.3">
      <c r="A250" s="72" t="s">
        <v>356</v>
      </c>
      <c r="B250" s="72" t="s">
        <v>1128</v>
      </c>
      <c r="C250" s="74">
        <v>2017</v>
      </c>
      <c r="D250" s="81">
        <v>224.06</v>
      </c>
      <c r="E250" s="72" t="s">
        <v>1958</v>
      </c>
      <c r="F250" s="76" t="s">
        <v>1959</v>
      </c>
      <c r="G250" s="72" t="s">
        <v>47</v>
      </c>
      <c r="H250" s="72" t="s">
        <v>1905</v>
      </c>
      <c r="I250" s="72" t="s">
        <v>1893</v>
      </c>
      <c r="J250" s="77" t="s">
        <v>1893</v>
      </c>
      <c r="K250" s="77"/>
      <c r="L250" s="77"/>
      <c r="M250" s="78" t="s">
        <v>1824</v>
      </c>
      <c r="N250" s="78" t="s">
        <v>1825</v>
      </c>
      <c r="O250" s="78"/>
      <c r="P250" s="80">
        <v>224.06</v>
      </c>
    </row>
    <row r="251" spans="1:16" x14ac:dyDescent="0.3">
      <c r="A251" s="72" t="s">
        <v>258</v>
      </c>
      <c r="B251" s="72" t="s">
        <v>1131</v>
      </c>
      <c r="C251" s="74">
        <v>2017</v>
      </c>
      <c r="D251" s="81">
        <v>197.15</v>
      </c>
      <c r="E251" s="72" t="s">
        <v>1958</v>
      </c>
      <c r="F251" s="76" t="s">
        <v>1959</v>
      </c>
      <c r="G251" s="72" t="s">
        <v>47</v>
      </c>
      <c r="H251" s="72" t="s">
        <v>1905</v>
      </c>
      <c r="I251" s="72" t="s">
        <v>1893</v>
      </c>
      <c r="J251" s="77" t="s">
        <v>1893</v>
      </c>
      <c r="K251" s="77"/>
      <c r="L251" s="77"/>
      <c r="M251" s="78" t="s">
        <v>1824</v>
      </c>
      <c r="N251" s="78" t="s">
        <v>1825</v>
      </c>
      <c r="O251" s="78"/>
      <c r="P251" s="80">
        <v>197.15</v>
      </c>
    </row>
    <row r="252" spans="1:16" x14ac:dyDescent="0.3">
      <c r="A252" s="72" t="s">
        <v>179</v>
      </c>
      <c r="B252" s="72" t="s">
        <v>1134</v>
      </c>
      <c r="C252" s="74">
        <v>2017</v>
      </c>
      <c r="D252" s="81">
        <v>244.8</v>
      </c>
      <c r="E252" s="72" t="s">
        <v>1958</v>
      </c>
      <c r="F252" s="76" t="s">
        <v>1959</v>
      </c>
      <c r="G252" s="72" t="s">
        <v>47</v>
      </c>
      <c r="H252" s="72" t="s">
        <v>1905</v>
      </c>
      <c r="I252" s="72" t="s">
        <v>1893</v>
      </c>
      <c r="J252" s="77" t="s">
        <v>1893</v>
      </c>
      <c r="K252" s="77"/>
      <c r="L252" s="77"/>
      <c r="M252" s="78" t="s">
        <v>1824</v>
      </c>
      <c r="N252" s="78" t="s">
        <v>1825</v>
      </c>
      <c r="O252" s="78"/>
      <c r="P252" s="80">
        <v>244.8</v>
      </c>
    </row>
    <row r="253" spans="1:16" x14ac:dyDescent="0.3">
      <c r="A253" s="72" t="s">
        <v>2046</v>
      </c>
      <c r="B253" s="72" t="s">
        <v>2047</v>
      </c>
      <c r="C253" s="74">
        <v>2017</v>
      </c>
      <c r="D253" s="81">
        <v>8.5299999999999994</v>
      </c>
      <c r="E253" s="72" t="s">
        <v>1958</v>
      </c>
      <c r="F253" s="76" t="s">
        <v>1959</v>
      </c>
      <c r="G253" s="72" t="s">
        <v>1960</v>
      </c>
      <c r="H253" s="72" t="s">
        <v>1905</v>
      </c>
      <c r="I253" s="72" t="s">
        <v>1893</v>
      </c>
      <c r="J253" s="77" t="s">
        <v>1893</v>
      </c>
      <c r="K253" s="77"/>
      <c r="L253" s="77"/>
      <c r="M253" s="78" t="s">
        <v>1824</v>
      </c>
      <c r="N253" s="78" t="s">
        <v>1825</v>
      </c>
      <c r="O253" s="78"/>
      <c r="P253" s="80">
        <v>8.5299999999999994</v>
      </c>
    </row>
    <row r="254" spans="1:16" x14ac:dyDescent="0.3">
      <c r="A254" s="72" t="s">
        <v>2048</v>
      </c>
      <c r="B254" s="72" t="s">
        <v>2049</v>
      </c>
      <c r="C254" s="74">
        <v>2017</v>
      </c>
      <c r="D254" s="81">
        <v>10.72</v>
      </c>
      <c r="E254" s="72" t="s">
        <v>1958</v>
      </c>
      <c r="F254" s="76" t="s">
        <v>1959</v>
      </c>
      <c r="G254" s="72" t="s">
        <v>1960</v>
      </c>
      <c r="H254" s="72" t="s">
        <v>1905</v>
      </c>
      <c r="I254" s="72" t="s">
        <v>1893</v>
      </c>
      <c r="J254" s="77" t="s">
        <v>1893</v>
      </c>
      <c r="K254" s="77"/>
      <c r="L254" s="77"/>
      <c r="M254" s="78" t="s">
        <v>1824</v>
      </c>
      <c r="N254" s="78" t="s">
        <v>1825</v>
      </c>
      <c r="O254" s="78"/>
      <c r="P254" s="80">
        <v>10.72</v>
      </c>
    </row>
    <row r="255" spans="1:16" x14ac:dyDescent="0.3">
      <c r="A255" s="72" t="s">
        <v>2050</v>
      </c>
      <c r="B255" s="72" t="s">
        <v>2051</v>
      </c>
      <c r="C255" s="74">
        <v>2017</v>
      </c>
      <c r="D255" s="81">
        <v>8.9700000000000006</v>
      </c>
      <c r="E255" s="72" t="s">
        <v>1958</v>
      </c>
      <c r="F255" s="76" t="s">
        <v>1959</v>
      </c>
      <c r="G255" s="72" t="s">
        <v>1960</v>
      </c>
      <c r="H255" s="72" t="s">
        <v>1905</v>
      </c>
      <c r="I255" s="72" t="s">
        <v>1893</v>
      </c>
      <c r="J255" s="77" t="s">
        <v>1893</v>
      </c>
      <c r="K255" s="77"/>
      <c r="L255" s="77"/>
      <c r="M255" s="78" t="s">
        <v>1824</v>
      </c>
      <c r="N255" s="78" t="s">
        <v>1825</v>
      </c>
      <c r="O255" s="78"/>
      <c r="P255" s="80">
        <v>8.9700000000000006</v>
      </c>
    </row>
    <row r="256" spans="1:16" x14ac:dyDescent="0.3">
      <c r="A256" s="72" t="s">
        <v>2052</v>
      </c>
      <c r="B256" s="72" t="s">
        <v>2053</v>
      </c>
      <c r="C256" s="74">
        <v>2017</v>
      </c>
      <c r="D256" s="81">
        <v>1.39</v>
      </c>
      <c r="E256" s="72" t="s">
        <v>1958</v>
      </c>
      <c r="F256" s="76" t="s">
        <v>1959</v>
      </c>
      <c r="G256" s="72" t="s">
        <v>2054</v>
      </c>
      <c r="H256" s="72" t="s">
        <v>1905</v>
      </c>
      <c r="I256" s="72" t="s">
        <v>1893</v>
      </c>
      <c r="J256" s="77" t="s">
        <v>1893</v>
      </c>
      <c r="K256" s="77"/>
      <c r="L256" s="77"/>
      <c r="M256" s="78" t="s">
        <v>1824</v>
      </c>
      <c r="N256" s="78" t="s">
        <v>1825</v>
      </c>
      <c r="O256" s="78"/>
      <c r="P256" s="80">
        <v>1.39</v>
      </c>
    </row>
    <row r="257" spans="1:16" x14ac:dyDescent="0.3">
      <c r="A257" s="72" t="s">
        <v>2055</v>
      </c>
      <c r="B257" s="72" t="s">
        <v>2056</v>
      </c>
      <c r="C257" s="74">
        <v>2017</v>
      </c>
      <c r="D257" s="81">
        <v>1.42</v>
      </c>
      <c r="E257" s="72" t="s">
        <v>1958</v>
      </c>
      <c r="F257" s="76" t="s">
        <v>1959</v>
      </c>
      <c r="G257" s="72" t="s">
        <v>2054</v>
      </c>
      <c r="H257" s="72" t="s">
        <v>1905</v>
      </c>
      <c r="I257" s="72" t="s">
        <v>1893</v>
      </c>
      <c r="J257" s="77" t="s">
        <v>1893</v>
      </c>
      <c r="K257" s="77"/>
      <c r="L257" s="77"/>
      <c r="M257" s="78" t="s">
        <v>1824</v>
      </c>
      <c r="N257" s="78" t="s">
        <v>1825</v>
      </c>
      <c r="O257" s="78"/>
      <c r="P257" s="80">
        <v>1.42</v>
      </c>
    </row>
    <row r="258" spans="1:16" x14ac:dyDescent="0.3">
      <c r="A258" s="72" t="s">
        <v>2057</v>
      </c>
      <c r="B258" s="72" t="s">
        <v>2058</v>
      </c>
      <c r="C258" s="74">
        <v>2017</v>
      </c>
      <c r="D258" s="81">
        <v>1.86</v>
      </c>
      <c r="E258" s="72" t="s">
        <v>1958</v>
      </c>
      <c r="F258" s="76" t="s">
        <v>1959</v>
      </c>
      <c r="G258" s="72" t="s">
        <v>2054</v>
      </c>
      <c r="H258" s="72" t="s">
        <v>1905</v>
      </c>
      <c r="I258" s="72" t="s">
        <v>1893</v>
      </c>
      <c r="J258" s="77" t="s">
        <v>1893</v>
      </c>
      <c r="K258" s="77"/>
      <c r="L258" s="77"/>
      <c r="M258" s="78" t="s">
        <v>1824</v>
      </c>
      <c r="N258" s="78" t="s">
        <v>1825</v>
      </c>
      <c r="O258" s="78"/>
      <c r="P258" s="80">
        <v>1.86</v>
      </c>
    </row>
    <row r="259" spans="1:16" x14ac:dyDescent="0.3">
      <c r="A259" s="72" t="s">
        <v>2059</v>
      </c>
      <c r="B259" s="72" t="s">
        <v>2060</v>
      </c>
      <c r="C259" s="74">
        <v>2017</v>
      </c>
      <c r="D259" s="81">
        <v>7.01</v>
      </c>
      <c r="E259" s="72" t="s">
        <v>1854</v>
      </c>
      <c r="F259" s="76" t="s">
        <v>1855</v>
      </c>
      <c r="G259" s="72" t="s">
        <v>2061</v>
      </c>
      <c r="H259" s="72" t="s">
        <v>1905</v>
      </c>
      <c r="I259" s="72" t="s">
        <v>1893</v>
      </c>
      <c r="J259" s="77" t="s">
        <v>1893</v>
      </c>
      <c r="K259" s="77"/>
      <c r="L259" s="77"/>
      <c r="M259" s="78" t="s">
        <v>1824</v>
      </c>
      <c r="N259" s="78" t="s">
        <v>1825</v>
      </c>
      <c r="O259" s="78"/>
      <c r="P259" s="80">
        <v>7.01</v>
      </c>
    </row>
    <row r="260" spans="1:16" x14ac:dyDescent="0.3">
      <c r="A260" s="72" t="s">
        <v>2062</v>
      </c>
      <c r="B260" s="72" t="s">
        <v>1952</v>
      </c>
      <c r="C260" s="74">
        <v>2017</v>
      </c>
      <c r="D260" s="81">
        <v>6.93</v>
      </c>
      <c r="E260" s="72" t="s">
        <v>1854</v>
      </c>
      <c r="F260" s="76" t="s">
        <v>1855</v>
      </c>
      <c r="G260" s="72" t="s">
        <v>2061</v>
      </c>
      <c r="H260" s="72" t="s">
        <v>1905</v>
      </c>
      <c r="I260" s="72" t="s">
        <v>1893</v>
      </c>
      <c r="J260" s="77" t="s">
        <v>1893</v>
      </c>
      <c r="K260" s="77"/>
      <c r="L260" s="77"/>
      <c r="M260" s="78" t="s">
        <v>1824</v>
      </c>
      <c r="N260" s="78" t="s">
        <v>1825</v>
      </c>
      <c r="O260" s="78"/>
      <c r="P260" s="80">
        <v>6.93</v>
      </c>
    </row>
    <row r="261" spans="1:16" x14ac:dyDescent="0.3">
      <c r="A261" s="72" t="s">
        <v>2063</v>
      </c>
      <c r="B261" s="72" t="s">
        <v>2064</v>
      </c>
      <c r="C261" s="74">
        <v>2017</v>
      </c>
      <c r="D261" s="81">
        <v>19.97</v>
      </c>
      <c r="E261" s="72" t="s">
        <v>1854</v>
      </c>
      <c r="F261" s="76" t="s">
        <v>1855</v>
      </c>
      <c r="G261" s="72" t="s">
        <v>2061</v>
      </c>
      <c r="H261" s="72" t="s">
        <v>1905</v>
      </c>
      <c r="I261" s="72" t="s">
        <v>1893</v>
      </c>
      <c r="J261" s="77" t="s">
        <v>1893</v>
      </c>
      <c r="K261" s="77"/>
      <c r="L261" s="77"/>
      <c r="M261" s="78" t="s">
        <v>1824</v>
      </c>
      <c r="N261" s="78" t="s">
        <v>1825</v>
      </c>
      <c r="O261" s="78"/>
      <c r="P261" s="80">
        <v>19.97</v>
      </c>
    </row>
    <row r="262" spans="1:16" x14ac:dyDescent="0.3">
      <c r="A262" s="72" t="s">
        <v>2065</v>
      </c>
      <c r="B262" s="72" t="s">
        <v>1955</v>
      </c>
      <c r="C262" s="74">
        <v>2017</v>
      </c>
      <c r="D262" s="81">
        <v>19.97</v>
      </c>
      <c r="E262" s="72" t="s">
        <v>1854</v>
      </c>
      <c r="F262" s="76" t="s">
        <v>1855</v>
      </c>
      <c r="G262" s="72" t="s">
        <v>2061</v>
      </c>
      <c r="H262" s="72" t="s">
        <v>1905</v>
      </c>
      <c r="I262" s="72" t="s">
        <v>1893</v>
      </c>
      <c r="J262" s="77" t="s">
        <v>1893</v>
      </c>
      <c r="K262" s="77"/>
      <c r="L262" s="77"/>
      <c r="M262" s="78" t="s">
        <v>1824</v>
      </c>
      <c r="N262" s="78" t="s">
        <v>1825</v>
      </c>
      <c r="O262" s="78"/>
      <c r="P262" s="80">
        <v>19.97</v>
      </c>
    </row>
    <row r="263" spans="1:16" x14ac:dyDescent="0.3">
      <c r="A263" s="72" t="s">
        <v>2066</v>
      </c>
      <c r="B263" s="72" t="s">
        <v>2067</v>
      </c>
      <c r="C263" s="74">
        <v>2017</v>
      </c>
      <c r="D263" s="81">
        <v>29.87</v>
      </c>
      <c r="E263" s="72" t="s">
        <v>1958</v>
      </c>
      <c r="F263" s="76" t="s">
        <v>1959</v>
      </c>
      <c r="G263" s="72" t="s">
        <v>2068</v>
      </c>
      <c r="H263" s="72" t="s">
        <v>1905</v>
      </c>
      <c r="I263" s="72" t="s">
        <v>1893</v>
      </c>
      <c r="J263" s="77" t="s">
        <v>1893</v>
      </c>
      <c r="K263" s="77"/>
      <c r="L263" s="77"/>
      <c r="M263" s="78" t="s">
        <v>1824</v>
      </c>
      <c r="N263" s="78" t="s">
        <v>1825</v>
      </c>
      <c r="O263" s="78"/>
      <c r="P263" s="80">
        <v>29.87</v>
      </c>
    </row>
    <row r="264" spans="1:16" x14ac:dyDescent="0.3">
      <c r="A264" s="72" t="s">
        <v>2069</v>
      </c>
      <c r="B264" s="72" t="s">
        <v>2070</v>
      </c>
      <c r="C264" s="74">
        <v>2017</v>
      </c>
      <c r="D264" s="81">
        <v>21.17</v>
      </c>
      <c r="E264" s="72" t="s">
        <v>1831</v>
      </c>
      <c r="F264" s="76" t="s">
        <v>1832</v>
      </c>
      <c r="G264" s="72" t="s">
        <v>2068</v>
      </c>
      <c r="H264" s="72" t="s">
        <v>1905</v>
      </c>
      <c r="I264" s="72" t="s">
        <v>1893</v>
      </c>
      <c r="J264" s="77" t="s">
        <v>1893</v>
      </c>
      <c r="K264" s="77"/>
      <c r="L264" s="77"/>
      <c r="M264" s="78" t="s">
        <v>1824</v>
      </c>
      <c r="N264" s="78" t="s">
        <v>1825</v>
      </c>
      <c r="O264" s="78"/>
      <c r="P264" s="80">
        <v>21.17</v>
      </c>
    </row>
    <row r="265" spans="1:16" x14ac:dyDescent="0.3">
      <c r="A265" s="72" t="s">
        <v>2071</v>
      </c>
      <c r="B265" s="72" t="s">
        <v>2072</v>
      </c>
      <c r="C265" s="74">
        <v>2017</v>
      </c>
      <c r="D265" s="81">
        <v>25.93</v>
      </c>
      <c r="E265" s="72" t="s">
        <v>1831</v>
      </c>
      <c r="F265" s="76" t="s">
        <v>1832</v>
      </c>
      <c r="G265" s="72" t="s">
        <v>2068</v>
      </c>
      <c r="H265" s="72" t="s">
        <v>1905</v>
      </c>
      <c r="I265" s="72" t="s">
        <v>1893</v>
      </c>
      <c r="J265" s="77" t="s">
        <v>1893</v>
      </c>
      <c r="K265" s="77"/>
      <c r="L265" s="77"/>
      <c r="M265" s="78" t="s">
        <v>1824</v>
      </c>
      <c r="N265" s="78" t="s">
        <v>1825</v>
      </c>
      <c r="O265" s="78"/>
      <c r="P265" s="80">
        <v>25.93</v>
      </c>
    </row>
    <row r="266" spans="1:16" x14ac:dyDescent="0.3">
      <c r="A266" s="72" t="s">
        <v>2073</v>
      </c>
      <c r="B266" s="72" t="s">
        <v>2074</v>
      </c>
      <c r="C266" s="74">
        <v>2017</v>
      </c>
      <c r="D266" s="81">
        <v>38.82</v>
      </c>
      <c r="E266" s="72" t="s">
        <v>1831</v>
      </c>
      <c r="F266" s="76" t="s">
        <v>1832</v>
      </c>
      <c r="G266" s="72" t="s">
        <v>2068</v>
      </c>
      <c r="H266" s="72" t="s">
        <v>1905</v>
      </c>
      <c r="I266" s="72" t="s">
        <v>1893</v>
      </c>
      <c r="J266" s="77" t="s">
        <v>1893</v>
      </c>
      <c r="K266" s="77"/>
      <c r="L266" s="77"/>
      <c r="M266" s="78" t="s">
        <v>1824</v>
      </c>
      <c r="N266" s="78" t="s">
        <v>1825</v>
      </c>
      <c r="O266" s="78"/>
      <c r="P266" s="80">
        <v>38.82</v>
      </c>
    </row>
    <row r="267" spans="1:16" x14ac:dyDescent="0.3">
      <c r="A267" s="72" t="s">
        <v>2075</v>
      </c>
      <c r="B267" s="72" t="s">
        <v>2076</v>
      </c>
      <c r="C267" s="74">
        <v>2017</v>
      </c>
      <c r="D267" s="81">
        <v>211.42</v>
      </c>
      <c r="E267" s="72" t="s">
        <v>1958</v>
      </c>
      <c r="F267" s="76" t="s">
        <v>1959</v>
      </c>
      <c r="G267" s="72" t="s">
        <v>2068</v>
      </c>
      <c r="H267" s="72" t="s">
        <v>1905</v>
      </c>
      <c r="I267" s="72" t="s">
        <v>1893</v>
      </c>
      <c r="J267" s="77" t="s">
        <v>1893</v>
      </c>
      <c r="K267" s="77"/>
      <c r="L267" s="77"/>
      <c r="M267" s="78" t="s">
        <v>1824</v>
      </c>
      <c r="N267" s="78" t="s">
        <v>1825</v>
      </c>
      <c r="O267" s="78"/>
      <c r="P267" s="80">
        <v>211.42</v>
      </c>
    </row>
    <row r="268" spans="1:16" x14ac:dyDescent="0.3">
      <c r="A268" s="72" t="s">
        <v>2077</v>
      </c>
      <c r="B268" s="72" t="s">
        <v>2078</v>
      </c>
      <c r="C268" s="74">
        <v>2017</v>
      </c>
      <c r="D268" s="81">
        <v>65.31</v>
      </c>
      <c r="E268" s="72" t="s">
        <v>1831</v>
      </c>
      <c r="F268" s="76" t="s">
        <v>1832</v>
      </c>
      <c r="G268" s="72" t="s">
        <v>2068</v>
      </c>
      <c r="H268" s="72" t="s">
        <v>1905</v>
      </c>
      <c r="I268" s="72" t="s">
        <v>1893</v>
      </c>
      <c r="J268" s="77" t="s">
        <v>1893</v>
      </c>
      <c r="K268" s="77"/>
      <c r="L268" s="77"/>
      <c r="M268" s="78" t="s">
        <v>1824</v>
      </c>
      <c r="N268" s="78" t="s">
        <v>1825</v>
      </c>
      <c r="O268" s="78"/>
      <c r="P268" s="80">
        <v>65.31</v>
      </c>
    </row>
    <row r="269" spans="1:16" x14ac:dyDescent="0.3">
      <c r="A269" s="72" t="s">
        <v>2079</v>
      </c>
      <c r="B269" s="72" t="s">
        <v>2080</v>
      </c>
      <c r="C269" s="74">
        <v>2017</v>
      </c>
      <c r="D269" s="81">
        <v>40.99</v>
      </c>
      <c r="E269" s="72" t="s">
        <v>1958</v>
      </c>
      <c r="F269" s="76" t="s">
        <v>1959</v>
      </c>
      <c r="G269" s="72" t="s">
        <v>2068</v>
      </c>
      <c r="H269" s="72" t="s">
        <v>1905</v>
      </c>
      <c r="I269" s="72" t="s">
        <v>1893</v>
      </c>
      <c r="J269" s="77" t="s">
        <v>1893</v>
      </c>
      <c r="K269" s="77"/>
      <c r="L269" s="77"/>
      <c r="M269" s="78" t="s">
        <v>1824</v>
      </c>
      <c r="N269" s="78" t="s">
        <v>1825</v>
      </c>
      <c r="O269" s="78"/>
      <c r="P269" s="80">
        <v>40.99</v>
      </c>
    </row>
    <row r="270" spans="1:16" x14ac:dyDescent="0.3">
      <c r="A270" s="72" t="s">
        <v>2081</v>
      </c>
      <c r="B270" s="72" t="s">
        <v>2082</v>
      </c>
      <c r="C270" s="74">
        <v>2017</v>
      </c>
      <c r="D270" s="81">
        <v>39.69</v>
      </c>
      <c r="E270" s="72" t="s">
        <v>1958</v>
      </c>
      <c r="F270" s="76" t="s">
        <v>1959</v>
      </c>
      <c r="G270" s="72" t="s">
        <v>2068</v>
      </c>
      <c r="H270" s="72" t="s">
        <v>1905</v>
      </c>
      <c r="I270" s="72" t="s">
        <v>1893</v>
      </c>
      <c r="J270" s="77" t="s">
        <v>1893</v>
      </c>
      <c r="K270" s="77"/>
      <c r="L270" s="77"/>
      <c r="M270" s="78" t="s">
        <v>1824</v>
      </c>
      <c r="N270" s="78" t="s">
        <v>1825</v>
      </c>
      <c r="O270" s="78"/>
      <c r="P270" s="80">
        <v>39.69</v>
      </c>
    </row>
    <row r="271" spans="1:16" x14ac:dyDescent="0.3">
      <c r="A271" s="72" t="s">
        <v>2083</v>
      </c>
      <c r="B271" s="72" t="s">
        <v>2084</v>
      </c>
      <c r="C271" s="74">
        <v>2017</v>
      </c>
      <c r="D271" s="81">
        <v>44.52</v>
      </c>
      <c r="E271" s="72" t="s">
        <v>1958</v>
      </c>
      <c r="F271" s="76" t="s">
        <v>1959</v>
      </c>
      <c r="G271" s="72" t="s">
        <v>2068</v>
      </c>
      <c r="H271" s="72" t="s">
        <v>1905</v>
      </c>
      <c r="I271" s="72" t="s">
        <v>1893</v>
      </c>
      <c r="J271" s="77" t="s">
        <v>1893</v>
      </c>
      <c r="K271" s="77"/>
      <c r="L271" s="77"/>
      <c r="M271" s="78" t="s">
        <v>1824</v>
      </c>
      <c r="N271" s="78" t="s">
        <v>1825</v>
      </c>
      <c r="O271" s="78"/>
      <c r="P271" s="80">
        <v>44.52</v>
      </c>
    </row>
    <row r="272" spans="1:16" x14ac:dyDescent="0.3">
      <c r="A272" s="72" t="s">
        <v>2085</v>
      </c>
      <c r="B272" s="72" t="s">
        <v>2086</v>
      </c>
      <c r="C272" s="74">
        <v>2017</v>
      </c>
      <c r="D272" s="81">
        <v>76.69</v>
      </c>
      <c r="E272" s="72" t="s">
        <v>1958</v>
      </c>
      <c r="F272" s="76" t="s">
        <v>1959</v>
      </c>
      <c r="G272" s="72" t="s">
        <v>2068</v>
      </c>
      <c r="H272" s="72" t="s">
        <v>1905</v>
      </c>
      <c r="I272" s="72" t="s">
        <v>1893</v>
      </c>
      <c r="J272" s="77" t="s">
        <v>1893</v>
      </c>
      <c r="K272" s="77"/>
      <c r="L272" s="77"/>
      <c r="M272" s="78" t="s">
        <v>1824</v>
      </c>
      <c r="N272" s="78" t="s">
        <v>1825</v>
      </c>
      <c r="O272" s="78"/>
      <c r="P272" s="80">
        <v>76.69</v>
      </c>
    </row>
    <row r="273" spans="1:16" x14ac:dyDescent="0.3">
      <c r="A273" s="72" t="s">
        <v>2087</v>
      </c>
      <c r="B273" s="72" t="s">
        <v>2088</v>
      </c>
      <c r="C273" s="74">
        <v>2017</v>
      </c>
      <c r="D273" s="81">
        <v>97.17</v>
      </c>
      <c r="E273" s="72" t="s">
        <v>1958</v>
      </c>
      <c r="F273" s="76" t="s">
        <v>1959</v>
      </c>
      <c r="G273" s="72" t="s">
        <v>2068</v>
      </c>
      <c r="H273" s="72" t="s">
        <v>1905</v>
      </c>
      <c r="I273" s="72" t="s">
        <v>1893</v>
      </c>
      <c r="J273" s="77" t="s">
        <v>1893</v>
      </c>
      <c r="K273" s="77"/>
      <c r="L273" s="77"/>
      <c r="M273" s="78" t="s">
        <v>1824</v>
      </c>
      <c r="N273" s="78" t="s">
        <v>1825</v>
      </c>
      <c r="O273" s="78"/>
      <c r="P273" s="80">
        <v>97.17</v>
      </c>
    </row>
    <row r="274" spans="1:16" x14ac:dyDescent="0.3">
      <c r="A274" s="72" t="s">
        <v>2089</v>
      </c>
      <c r="B274" s="72" t="s">
        <v>2090</v>
      </c>
      <c r="C274" s="74">
        <v>2017</v>
      </c>
      <c r="D274" s="81">
        <v>34.1</v>
      </c>
      <c r="E274" s="72" t="s">
        <v>1958</v>
      </c>
      <c r="F274" s="76" t="s">
        <v>1959</v>
      </c>
      <c r="G274" s="72" t="s">
        <v>2068</v>
      </c>
      <c r="H274" s="72" t="s">
        <v>1905</v>
      </c>
      <c r="I274" s="72" t="s">
        <v>1893</v>
      </c>
      <c r="J274" s="77" t="s">
        <v>1893</v>
      </c>
      <c r="K274" s="77"/>
      <c r="L274" s="77"/>
      <c r="M274" s="78" t="s">
        <v>1824</v>
      </c>
      <c r="N274" s="78" t="s">
        <v>1825</v>
      </c>
      <c r="O274" s="78"/>
      <c r="P274" s="80">
        <v>34.1</v>
      </c>
    </row>
    <row r="275" spans="1:16" x14ac:dyDescent="0.3">
      <c r="A275" s="72" t="s">
        <v>2091</v>
      </c>
      <c r="B275" s="72" t="s">
        <v>2092</v>
      </c>
      <c r="C275" s="74">
        <v>2017</v>
      </c>
      <c r="D275" s="81">
        <v>20.78</v>
      </c>
      <c r="E275" s="72" t="s">
        <v>1958</v>
      </c>
      <c r="F275" s="76" t="s">
        <v>1959</v>
      </c>
      <c r="G275" s="72" t="s">
        <v>2068</v>
      </c>
      <c r="H275" s="72" t="s">
        <v>1905</v>
      </c>
      <c r="I275" s="72" t="s">
        <v>1893</v>
      </c>
      <c r="J275" s="77" t="s">
        <v>1893</v>
      </c>
      <c r="K275" s="77"/>
      <c r="L275" s="77"/>
      <c r="M275" s="78" t="s">
        <v>1824</v>
      </c>
      <c r="N275" s="78" t="s">
        <v>1825</v>
      </c>
      <c r="O275" s="78"/>
      <c r="P275" s="80">
        <v>20.78</v>
      </c>
    </row>
    <row r="276" spans="1:16" x14ac:dyDescent="0.3">
      <c r="A276" s="72" t="s">
        <v>2093</v>
      </c>
      <c r="B276" s="72" t="s">
        <v>2094</v>
      </c>
      <c r="C276" s="74">
        <v>2017</v>
      </c>
      <c r="D276" s="81">
        <v>17.100000000000001</v>
      </c>
      <c r="E276" s="72" t="s">
        <v>1958</v>
      </c>
      <c r="F276" s="76" t="s">
        <v>1959</v>
      </c>
      <c r="G276" s="72" t="s">
        <v>2068</v>
      </c>
      <c r="H276" s="72" t="s">
        <v>1905</v>
      </c>
      <c r="I276" s="72" t="s">
        <v>1893</v>
      </c>
      <c r="J276" s="77" t="s">
        <v>1893</v>
      </c>
      <c r="K276" s="77"/>
      <c r="L276" s="77"/>
      <c r="M276" s="78" t="s">
        <v>1824</v>
      </c>
      <c r="N276" s="78" t="s">
        <v>1825</v>
      </c>
      <c r="O276" s="78"/>
      <c r="P276" s="80">
        <v>17.100000000000001</v>
      </c>
    </row>
    <row r="277" spans="1:16" x14ac:dyDescent="0.3">
      <c r="A277" s="72" t="s">
        <v>2095</v>
      </c>
      <c r="B277" s="72" t="s">
        <v>2096</v>
      </c>
      <c r="C277" s="74">
        <v>2017</v>
      </c>
      <c r="D277" s="81">
        <v>118.9</v>
      </c>
      <c r="E277" s="72" t="s">
        <v>1821</v>
      </c>
      <c r="F277" s="76" t="s">
        <v>1822</v>
      </c>
      <c r="G277" s="72" t="s">
        <v>2068</v>
      </c>
      <c r="H277" s="72" t="s">
        <v>1905</v>
      </c>
      <c r="I277" s="72" t="s">
        <v>1893</v>
      </c>
      <c r="J277" s="77" t="s">
        <v>1893</v>
      </c>
      <c r="K277" s="77"/>
      <c r="L277" s="77"/>
      <c r="M277" s="78" t="s">
        <v>1824</v>
      </c>
      <c r="N277" s="78" t="s">
        <v>1825</v>
      </c>
      <c r="O277" s="87"/>
      <c r="P277" s="80">
        <v>118.9</v>
      </c>
    </row>
    <row r="278" spans="1:16" ht="110.4" x14ac:dyDescent="0.3">
      <c r="A278" s="84" t="s">
        <v>1956</v>
      </c>
      <c r="B278" s="84" t="s">
        <v>1957</v>
      </c>
      <c r="C278" s="74">
        <v>2017</v>
      </c>
      <c r="D278" s="85">
        <v>3.03</v>
      </c>
      <c r="E278" s="72" t="s">
        <v>1958</v>
      </c>
      <c r="F278" s="76" t="s">
        <v>1959</v>
      </c>
      <c r="G278" s="72" t="s">
        <v>1960</v>
      </c>
      <c r="H278" s="72" t="s">
        <v>1905</v>
      </c>
      <c r="I278" s="72" t="s">
        <v>1893</v>
      </c>
      <c r="J278" s="77" t="s">
        <v>1893</v>
      </c>
      <c r="K278" s="77"/>
      <c r="L278" s="77"/>
      <c r="M278" s="78" t="s">
        <v>1961</v>
      </c>
      <c r="N278" s="78" t="s">
        <v>1962</v>
      </c>
      <c r="O278" s="78"/>
      <c r="P278" s="86">
        <v>3.5999999999999996</v>
      </c>
    </row>
    <row r="279" spans="1:16" ht="110.4" x14ac:dyDescent="0.3">
      <c r="A279" s="84" t="s">
        <v>1963</v>
      </c>
      <c r="B279" s="84" t="s">
        <v>1964</v>
      </c>
      <c r="C279" s="74">
        <v>2017</v>
      </c>
      <c r="D279" s="85">
        <v>3.03</v>
      </c>
      <c r="E279" s="72" t="s">
        <v>1958</v>
      </c>
      <c r="F279" s="76" t="s">
        <v>1959</v>
      </c>
      <c r="G279" s="72" t="s">
        <v>1960</v>
      </c>
      <c r="H279" s="72" t="s">
        <v>1905</v>
      </c>
      <c r="I279" s="72" t="s">
        <v>1893</v>
      </c>
      <c r="J279" s="77" t="s">
        <v>1893</v>
      </c>
      <c r="K279" s="77"/>
      <c r="L279" s="77"/>
      <c r="M279" s="78" t="s">
        <v>1961</v>
      </c>
      <c r="N279" s="78" t="s">
        <v>1962</v>
      </c>
      <c r="O279" s="78"/>
      <c r="P279" s="86">
        <v>3.5999999999999996</v>
      </c>
    </row>
    <row r="280" spans="1:16" ht="110.4" x14ac:dyDescent="0.3">
      <c r="A280" s="84" t="s">
        <v>1965</v>
      </c>
      <c r="B280" s="84" t="s">
        <v>1966</v>
      </c>
      <c r="C280" s="74">
        <v>2017</v>
      </c>
      <c r="D280" s="85">
        <v>3.09</v>
      </c>
      <c r="E280" s="72" t="s">
        <v>1958</v>
      </c>
      <c r="F280" s="76" t="s">
        <v>1959</v>
      </c>
      <c r="G280" s="72" t="s">
        <v>1960</v>
      </c>
      <c r="H280" s="72" t="s">
        <v>1905</v>
      </c>
      <c r="I280" s="72" t="s">
        <v>1893</v>
      </c>
      <c r="J280" s="77" t="s">
        <v>1893</v>
      </c>
      <c r="K280" s="77"/>
      <c r="L280" s="77"/>
      <c r="M280" s="78" t="s">
        <v>1961</v>
      </c>
      <c r="N280" s="78" t="s">
        <v>1962</v>
      </c>
      <c r="O280" s="78"/>
      <c r="P280" s="86">
        <v>3.6599999999999997</v>
      </c>
    </row>
    <row r="281" spans="1:16" ht="110.4" x14ac:dyDescent="0.3">
      <c r="A281" s="84" t="s">
        <v>1967</v>
      </c>
      <c r="B281" s="84" t="s">
        <v>1968</v>
      </c>
      <c r="C281" s="74">
        <v>2017</v>
      </c>
      <c r="D281" s="85">
        <v>3.09</v>
      </c>
      <c r="E281" s="72" t="s">
        <v>1958</v>
      </c>
      <c r="F281" s="76" t="s">
        <v>1959</v>
      </c>
      <c r="G281" s="72" t="s">
        <v>1960</v>
      </c>
      <c r="H281" s="72" t="s">
        <v>1905</v>
      </c>
      <c r="I281" s="72" t="s">
        <v>1893</v>
      </c>
      <c r="J281" s="77" t="s">
        <v>1893</v>
      </c>
      <c r="K281" s="77"/>
      <c r="L281" s="77"/>
      <c r="M281" s="78" t="s">
        <v>1961</v>
      </c>
      <c r="N281" s="78" t="s">
        <v>1962</v>
      </c>
      <c r="O281" s="78"/>
      <c r="P281" s="86">
        <v>3.6599999999999997</v>
      </c>
    </row>
    <row r="282" spans="1:16" ht="110.4" x14ac:dyDescent="0.3">
      <c r="A282" s="84" t="s">
        <v>1969</v>
      </c>
      <c r="B282" s="84" t="s">
        <v>1970</v>
      </c>
      <c r="C282" s="74">
        <v>2017</v>
      </c>
      <c r="D282" s="85">
        <v>4.09</v>
      </c>
      <c r="E282" s="72" t="s">
        <v>1958</v>
      </c>
      <c r="F282" s="76" t="s">
        <v>1959</v>
      </c>
      <c r="G282" s="72" t="s">
        <v>1960</v>
      </c>
      <c r="H282" s="72" t="s">
        <v>1905</v>
      </c>
      <c r="I282" s="72" t="s">
        <v>1893</v>
      </c>
      <c r="J282" s="77" t="s">
        <v>1893</v>
      </c>
      <c r="K282" s="77"/>
      <c r="L282" s="77"/>
      <c r="M282" s="78" t="s">
        <v>1961</v>
      </c>
      <c r="N282" s="78" t="s">
        <v>1962</v>
      </c>
      <c r="O282" s="78"/>
      <c r="P282" s="86">
        <v>4.5</v>
      </c>
    </row>
    <row r="283" spans="1:16" ht="110.4" x14ac:dyDescent="0.3">
      <c r="A283" s="84" t="s">
        <v>1971</v>
      </c>
      <c r="B283" s="84" t="s">
        <v>1972</v>
      </c>
      <c r="C283" s="74">
        <v>2017</v>
      </c>
      <c r="D283" s="85">
        <v>4.47</v>
      </c>
      <c r="E283" s="72" t="s">
        <v>1958</v>
      </c>
      <c r="F283" s="76" t="s">
        <v>1959</v>
      </c>
      <c r="G283" s="72" t="s">
        <v>1960</v>
      </c>
      <c r="H283" s="72" t="s">
        <v>1905</v>
      </c>
      <c r="I283" s="72" t="s">
        <v>1893</v>
      </c>
      <c r="J283" s="77" t="s">
        <v>1893</v>
      </c>
      <c r="K283" s="77"/>
      <c r="L283" s="77"/>
      <c r="M283" s="78" t="s">
        <v>1961</v>
      </c>
      <c r="N283" s="78" t="s">
        <v>1962</v>
      </c>
      <c r="O283" s="78"/>
      <c r="P283" s="86">
        <v>4.88</v>
      </c>
    </row>
    <row r="284" spans="1:16" ht="110.4" x14ac:dyDescent="0.3">
      <c r="A284" s="84" t="s">
        <v>1973</v>
      </c>
      <c r="B284" s="84" t="s">
        <v>1974</v>
      </c>
      <c r="C284" s="74">
        <v>2017</v>
      </c>
      <c r="D284" s="85">
        <v>4.47</v>
      </c>
      <c r="E284" s="72" t="s">
        <v>1958</v>
      </c>
      <c r="F284" s="76" t="s">
        <v>1959</v>
      </c>
      <c r="G284" s="72" t="s">
        <v>1960</v>
      </c>
      <c r="H284" s="72" t="s">
        <v>1905</v>
      </c>
      <c r="I284" s="72" t="s">
        <v>1893</v>
      </c>
      <c r="J284" s="77" t="s">
        <v>1893</v>
      </c>
      <c r="K284" s="77"/>
      <c r="L284" s="77"/>
      <c r="M284" s="78" t="s">
        <v>1961</v>
      </c>
      <c r="N284" s="78" t="s">
        <v>1962</v>
      </c>
      <c r="O284" s="78"/>
      <c r="P284" s="86">
        <v>4.88</v>
      </c>
    </row>
    <row r="285" spans="1:16" ht="110.4" x14ac:dyDescent="0.3">
      <c r="A285" s="84" t="s">
        <v>1975</v>
      </c>
      <c r="B285" s="84" t="s">
        <v>1976</v>
      </c>
      <c r="C285" s="74">
        <v>2017</v>
      </c>
      <c r="D285" s="85">
        <v>4.47</v>
      </c>
      <c r="E285" s="72" t="s">
        <v>1958</v>
      </c>
      <c r="F285" s="76" t="s">
        <v>1959</v>
      </c>
      <c r="G285" s="72" t="s">
        <v>1960</v>
      </c>
      <c r="H285" s="72" t="s">
        <v>1905</v>
      </c>
      <c r="I285" s="72" t="s">
        <v>1893</v>
      </c>
      <c r="J285" s="77" t="s">
        <v>1893</v>
      </c>
      <c r="K285" s="77"/>
      <c r="L285" s="77"/>
      <c r="M285" s="78" t="s">
        <v>1961</v>
      </c>
      <c r="N285" s="78" t="s">
        <v>1962</v>
      </c>
      <c r="O285" s="78"/>
      <c r="P285" s="86">
        <v>4.72</v>
      </c>
    </row>
    <row r="286" spans="1:16" ht="110.4" x14ac:dyDescent="0.3">
      <c r="A286" s="84" t="s">
        <v>1977</v>
      </c>
      <c r="B286" s="84" t="s">
        <v>1978</v>
      </c>
      <c r="C286" s="74">
        <v>2017</v>
      </c>
      <c r="D286" s="85">
        <v>3.67</v>
      </c>
      <c r="E286" s="72" t="s">
        <v>1958</v>
      </c>
      <c r="F286" s="76" t="s">
        <v>1959</v>
      </c>
      <c r="G286" s="72" t="s">
        <v>1960</v>
      </c>
      <c r="H286" s="72" t="s">
        <v>1905</v>
      </c>
      <c r="I286" s="72" t="s">
        <v>1893</v>
      </c>
      <c r="J286" s="77" t="s">
        <v>1893</v>
      </c>
      <c r="K286" s="77"/>
      <c r="L286" s="77"/>
      <c r="M286" s="78" t="s">
        <v>1961</v>
      </c>
      <c r="N286" s="78" t="s">
        <v>1962</v>
      </c>
      <c r="O286" s="78"/>
      <c r="P286" s="86">
        <v>3.9</v>
      </c>
    </row>
    <row r="287" spans="1:16" ht="110.4" x14ac:dyDescent="0.3">
      <c r="A287" s="84" t="s">
        <v>1979</v>
      </c>
      <c r="B287" s="84" t="s">
        <v>1980</v>
      </c>
      <c r="C287" s="74">
        <v>2017</v>
      </c>
      <c r="D287" s="85">
        <v>4.47</v>
      </c>
      <c r="E287" s="72" t="s">
        <v>1958</v>
      </c>
      <c r="F287" s="76" t="s">
        <v>1959</v>
      </c>
      <c r="G287" s="72" t="s">
        <v>1960</v>
      </c>
      <c r="H287" s="72" t="s">
        <v>1905</v>
      </c>
      <c r="I287" s="72" t="s">
        <v>1893</v>
      </c>
      <c r="J287" s="77" t="s">
        <v>1893</v>
      </c>
      <c r="K287" s="77"/>
      <c r="L287" s="77"/>
      <c r="M287" s="78" t="s">
        <v>1961</v>
      </c>
      <c r="N287" s="78" t="s">
        <v>1962</v>
      </c>
      <c r="O287" s="78"/>
      <c r="P287" s="86">
        <v>4.88</v>
      </c>
    </row>
    <row r="288" spans="1:16" ht="110.4" x14ac:dyDescent="0.3">
      <c r="A288" s="84" t="s">
        <v>1981</v>
      </c>
      <c r="B288" s="84" t="s">
        <v>1982</v>
      </c>
      <c r="C288" s="74">
        <v>2017</v>
      </c>
      <c r="D288" s="85">
        <v>3.09</v>
      </c>
      <c r="E288" s="72" t="s">
        <v>1958</v>
      </c>
      <c r="F288" s="76" t="s">
        <v>1959</v>
      </c>
      <c r="G288" s="72" t="s">
        <v>1960</v>
      </c>
      <c r="H288" s="72" t="s">
        <v>1905</v>
      </c>
      <c r="I288" s="72" t="s">
        <v>1893</v>
      </c>
      <c r="J288" s="77" t="s">
        <v>1893</v>
      </c>
      <c r="K288" s="77"/>
      <c r="L288" s="77"/>
      <c r="M288" s="78" t="s">
        <v>1961</v>
      </c>
      <c r="N288" s="78" t="s">
        <v>1962</v>
      </c>
      <c r="O288" s="78"/>
      <c r="P288" s="86">
        <v>3.87</v>
      </c>
    </row>
    <row r="289" spans="1:16" ht="110.4" x14ac:dyDescent="0.3">
      <c r="A289" s="84" t="s">
        <v>1983</v>
      </c>
      <c r="B289" s="84" t="s">
        <v>1984</v>
      </c>
      <c r="C289" s="74">
        <v>2017</v>
      </c>
      <c r="D289" s="85">
        <v>3.09</v>
      </c>
      <c r="E289" s="72" t="s">
        <v>1958</v>
      </c>
      <c r="F289" s="76" t="s">
        <v>1959</v>
      </c>
      <c r="G289" s="72" t="s">
        <v>1960</v>
      </c>
      <c r="H289" s="72" t="s">
        <v>1905</v>
      </c>
      <c r="I289" s="72" t="s">
        <v>1893</v>
      </c>
      <c r="J289" s="77" t="s">
        <v>1893</v>
      </c>
      <c r="K289" s="77"/>
      <c r="L289" s="77"/>
      <c r="M289" s="78" t="s">
        <v>1961</v>
      </c>
      <c r="N289" s="78" t="s">
        <v>1962</v>
      </c>
      <c r="O289" s="78"/>
      <c r="P289" s="86">
        <v>3.87</v>
      </c>
    </row>
    <row r="290" spans="1:16" ht="110.4" x14ac:dyDescent="0.3">
      <c r="A290" s="84" t="s">
        <v>1985</v>
      </c>
      <c r="B290" s="84" t="s">
        <v>1986</v>
      </c>
      <c r="C290" s="74">
        <v>2017</v>
      </c>
      <c r="D290" s="85">
        <v>4.09</v>
      </c>
      <c r="E290" s="72" t="s">
        <v>1958</v>
      </c>
      <c r="F290" s="76" t="s">
        <v>1959</v>
      </c>
      <c r="G290" s="72" t="s">
        <v>1960</v>
      </c>
      <c r="H290" s="72" t="s">
        <v>1905</v>
      </c>
      <c r="I290" s="72" t="s">
        <v>1893</v>
      </c>
      <c r="J290" s="77" t="s">
        <v>1893</v>
      </c>
      <c r="K290" s="77"/>
      <c r="L290" s="77"/>
      <c r="M290" s="78" t="s">
        <v>1961</v>
      </c>
      <c r="N290" s="78" t="s">
        <v>1962</v>
      </c>
      <c r="O290" s="78"/>
      <c r="P290" s="86">
        <v>4.74</v>
      </c>
    </row>
    <row r="291" spans="1:16" ht="110.4" x14ac:dyDescent="0.3">
      <c r="A291" s="84" t="s">
        <v>1987</v>
      </c>
      <c r="B291" s="84" t="s">
        <v>1988</v>
      </c>
      <c r="C291" s="74">
        <v>2017</v>
      </c>
      <c r="D291" s="85">
        <v>4.47</v>
      </c>
      <c r="E291" s="72" t="s">
        <v>1958</v>
      </c>
      <c r="F291" s="76" t="s">
        <v>1959</v>
      </c>
      <c r="G291" s="72" t="s">
        <v>1960</v>
      </c>
      <c r="H291" s="72" t="s">
        <v>1905</v>
      </c>
      <c r="I291" s="72" t="s">
        <v>1893</v>
      </c>
      <c r="J291" s="77" t="s">
        <v>1893</v>
      </c>
      <c r="K291" s="77"/>
      <c r="L291" s="77"/>
      <c r="M291" s="78" t="s">
        <v>1961</v>
      </c>
      <c r="N291" s="78" t="s">
        <v>1962</v>
      </c>
      <c r="O291" s="78"/>
      <c r="P291" s="86">
        <v>5.12</v>
      </c>
    </row>
    <row r="292" spans="1:16" ht="110.4" x14ac:dyDescent="0.3">
      <c r="A292" s="84" t="s">
        <v>1989</v>
      </c>
      <c r="B292" s="84" t="s">
        <v>1990</v>
      </c>
      <c r="C292" s="74">
        <v>2017</v>
      </c>
      <c r="D292" s="85">
        <v>4.47</v>
      </c>
      <c r="E292" s="72" t="s">
        <v>1958</v>
      </c>
      <c r="F292" s="76" t="s">
        <v>1959</v>
      </c>
      <c r="G292" s="72" t="s">
        <v>1960</v>
      </c>
      <c r="H292" s="72" t="s">
        <v>1905</v>
      </c>
      <c r="I292" s="72" t="s">
        <v>1893</v>
      </c>
      <c r="J292" s="77" t="s">
        <v>1893</v>
      </c>
      <c r="K292" s="77"/>
      <c r="L292" s="77"/>
      <c r="M292" s="78" t="s">
        <v>1961</v>
      </c>
      <c r="N292" s="78" t="s">
        <v>1962</v>
      </c>
      <c r="O292" s="78"/>
      <c r="P292" s="86">
        <v>5.12</v>
      </c>
    </row>
    <row r="293" spans="1:16" ht="110.4" x14ac:dyDescent="0.3">
      <c r="A293" s="84" t="s">
        <v>1991</v>
      </c>
      <c r="B293" s="84" t="s">
        <v>1992</v>
      </c>
      <c r="C293" s="74">
        <v>2017</v>
      </c>
      <c r="D293" s="85">
        <v>4.47</v>
      </c>
      <c r="E293" s="72" t="s">
        <v>1958</v>
      </c>
      <c r="F293" s="76" t="s">
        <v>1959</v>
      </c>
      <c r="G293" s="72" t="s">
        <v>1960</v>
      </c>
      <c r="H293" s="72" t="s">
        <v>1905</v>
      </c>
      <c r="I293" s="72" t="s">
        <v>1893</v>
      </c>
      <c r="J293" s="77" t="s">
        <v>1893</v>
      </c>
      <c r="K293" s="77"/>
      <c r="L293" s="77"/>
      <c r="M293" s="78" t="s">
        <v>1961</v>
      </c>
      <c r="N293" s="78" t="s">
        <v>1962</v>
      </c>
      <c r="O293" s="78"/>
      <c r="P293" s="86">
        <v>4.88</v>
      </c>
    </row>
    <row r="294" spans="1:16" ht="110.4" x14ac:dyDescent="0.3">
      <c r="A294" s="84" t="s">
        <v>1993</v>
      </c>
      <c r="B294" s="84" t="s">
        <v>1994</v>
      </c>
      <c r="C294" s="74">
        <v>2017</v>
      </c>
      <c r="D294" s="85">
        <v>3.67</v>
      </c>
      <c r="E294" s="72" t="s">
        <v>1958</v>
      </c>
      <c r="F294" s="76" t="s">
        <v>1959</v>
      </c>
      <c r="G294" s="72" t="s">
        <v>1960</v>
      </c>
      <c r="H294" s="72" t="s">
        <v>1905</v>
      </c>
      <c r="I294" s="72" t="s">
        <v>1893</v>
      </c>
      <c r="J294" s="77" t="s">
        <v>1893</v>
      </c>
      <c r="K294" s="77"/>
      <c r="L294" s="77"/>
      <c r="M294" s="78" t="s">
        <v>1961</v>
      </c>
      <c r="N294" s="78" t="s">
        <v>1962</v>
      </c>
      <c r="O294" s="78"/>
      <c r="P294" s="86">
        <v>4.07</v>
      </c>
    </row>
    <row r="295" spans="1:16" ht="110.4" x14ac:dyDescent="0.3">
      <c r="A295" s="84" t="s">
        <v>1995</v>
      </c>
      <c r="B295" s="84" t="s">
        <v>1996</v>
      </c>
      <c r="C295" s="74">
        <v>2017</v>
      </c>
      <c r="D295" s="85">
        <v>4.47</v>
      </c>
      <c r="E295" s="72" t="s">
        <v>1958</v>
      </c>
      <c r="F295" s="76" t="s">
        <v>1959</v>
      </c>
      <c r="G295" s="72" t="s">
        <v>1960</v>
      </c>
      <c r="H295" s="72" t="s">
        <v>1905</v>
      </c>
      <c r="I295" s="72" t="s">
        <v>1893</v>
      </c>
      <c r="J295" s="77" t="s">
        <v>1893</v>
      </c>
      <c r="K295" s="77"/>
      <c r="L295" s="77"/>
      <c r="M295" s="78" t="s">
        <v>1961</v>
      </c>
      <c r="N295" s="78" t="s">
        <v>1962</v>
      </c>
      <c r="O295" s="78"/>
      <c r="P295" s="86">
        <v>5.12</v>
      </c>
    </row>
    <row r="296" spans="1:16" x14ac:dyDescent="0.3">
      <c r="A296" s="72" t="s">
        <v>1997</v>
      </c>
      <c r="B296" s="72" t="s">
        <v>1998</v>
      </c>
      <c r="C296" s="74">
        <v>2017</v>
      </c>
      <c r="D296" s="81">
        <v>7.4</v>
      </c>
      <c r="E296" s="72" t="s">
        <v>1958</v>
      </c>
      <c r="F296" s="76" t="s">
        <v>1959</v>
      </c>
      <c r="G296" s="72" t="s">
        <v>1960</v>
      </c>
      <c r="H296" s="72" t="s">
        <v>1905</v>
      </c>
      <c r="I296" s="72" t="s">
        <v>1893</v>
      </c>
      <c r="J296" s="77" t="s">
        <v>1893</v>
      </c>
      <c r="K296" s="77"/>
      <c r="L296" s="77"/>
      <c r="M296" s="78" t="s">
        <v>1961</v>
      </c>
      <c r="N296" s="78" t="s">
        <v>1962</v>
      </c>
      <c r="O296" s="78"/>
      <c r="P296" s="86">
        <v>8.32</v>
      </c>
    </row>
    <row r="297" spans="1:16" x14ac:dyDescent="0.3">
      <c r="A297" s="72" t="s">
        <v>1999</v>
      </c>
      <c r="B297" s="72" t="s">
        <v>2000</v>
      </c>
      <c r="C297" s="74">
        <v>2017</v>
      </c>
      <c r="D297" s="81">
        <v>7.4</v>
      </c>
      <c r="E297" s="72" t="s">
        <v>1958</v>
      </c>
      <c r="F297" s="76" t="s">
        <v>1959</v>
      </c>
      <c r="G297" s="72" t="s">
        <v>1960</v>
      </c>
      <c r="H297" s="72" t="s">
        <v>1905</v>
      </c>
      <c r="I297" s="72" t="s">
        <v>1893</v>
      </c>
      <c r="J297" s="77" t="s">
        <v>1893</v>
      </c>
      <c r="K297" s="77"/>
      <c r="L297" s="77"/>
      <c r="M297" s="78" t="s">
        <v>1961</v>
      </c>
      <c r="N297" s="78" t="s">
        <v>1962</v>
      </c>
      <c r="O297" s="78"/>
      <c r="P297" s="86">
        <v>8.32</v>
      </c>
    </row>
    <row r="298" spans="1:16" x14ac:dyDescent="0.3">
      <c r="A298" s="72" t="s">
        <v>2001</v>
      </c>
      <c r="B298" s="72" t="s">
        <v>2002</v>
      </c>
      <c r="C298" s="74">
        <v>2017</v>
      </c>
      <c r="D298" s="81">
        <v>7.4</v>
      </c>
      <c r="E298" s="72" t="s">
        <v>1958</v>
      </c>
      <c r="F298" s="76" t="s">
        <v>1959</v>
      </c>
      <c r="G298" s="72" t="s">
        <v>1960</v>
      </c>
      <c r="H298" s="72" t="s">
        <v>1905</v>
      </c>
      <c r="I298" s="72" t="s">
        <v>1893</v>
      </c>
      <c r="J298" s="77" t="s">
        <v>1893</v>
      </c>
      <c r="K298" s="77"/>
      <c r="L298" s="77"/>
      <c r="M298" s="78" t="s">
        <v>1961</v>
      </c>
      <c r="N298" s="78" t="s">
        <v>1962</v>
      </c>
      <c r="O298" s="78"/>
      <c r="P298" s="86">
        <v>8.32</v>
      </c>
    </row>
    <row r="299" spans="1:16" x14ac:dyDescent="0.3">
      <c r="A299" s="72" t="s">
        <v>2003</v>
      </c>
      <c r="B299" s="72" t="s">
        <v>2004</v>
      </c>
      <c r="C299" s="74">
        <v>2017</v>
      </c>
      <c r="D299" s="81">
        <v>7.4</v>
      </c>
      <c r="E299" s="72" t="s">
        <v>1958</v>
      </c>
      <c r="F299" s="76" t="s">
        <v>1959</v>
      </c>
      <c r="G299" s="72" t="s">
        <v>1960</v>
      </c>
      <c r="H299" s="72" t="s">
        <v>1905</v>
      </c>
      <c r="I299" s="72" t="s">
        <v>1893</v>
      </c>
      <c r="J299" s="77" t="s">
        <v>1893</v>
      </c>
      <c r="K299" s="77"/>
      <c r="L299" s="77"/>
      <c r="M299" s="78" t="s">
        <v>1961</v>
      </c>
      <c r="N299" s="78" t="s">
        <v>1962</v>
      </c>
      <c r="O299" s="78"/>
      <c r="P299" s="86">
        <v>8.32</v>
      </c>
    </row>
    <row r="300" spans="1:16" x14ac:dyDescent="0.3">
      <c r="A300" s="72" t="s">
        <v>2005</v>
      </c>
      <c r="B300" s="72" t="s">
        <v>2006</v>
      </c>
      <c r="C300" s="74">
        <v>2017</v>
      </c>
      <c r="D300" s="81">
        <v>8.81</v>
      </c>
      <c r="E300" s="72" t="s">
        <v>1958</v>
      </c>
      <c r="F300" s="76" t="s">
        <v>1959</v>
      </c>
      <c r="G300" s="72" t="s">
        <v>1960</v>
      </c>
      <c r="H300" s="72" t="s">
        <v>1905</v>
      </c>
      <c r="I300" s="72" t="s">
        <v>1893</v>
      </c>
      <c r="J300" s="77" t="s">
        <v>1893</v>
      </c>
      <c r="K300" s="77"/>
      <c r="L300" s="77"/>
      <c r="M300" s="78" t="s">
        <v>1961</v>
      </c>
      <c r="N300" s="78" t="s">
        <v>1962</v>
      </c>
      <c r="O300" s="78"/>
      <c r="P300" s="86">
        <v>9.6000000000000014</v>
      </c>
    </row>
    <row r="301" spans="1:16" x14ac:dyDescent="0.3">
      <c r="A301" s="72" t="s">
        <v>2007</v>
      </c>
      <c r="B301" s="72" t="s">
        <v>2008</v>
      </c>
      <c r="C301" s="74">
        <v>2017</v>
      </c>
      <c r="D301" s="81">
        <v>8.81</v>
      </c>
      <c r="E301" s="72" t="s">
        <v>1958</v>
      </c>
      <c r="F301" s="76" t="s">
        <v>1959</v>
      </c>
      <c r="G301" s="72" t="s">
        <v>1960</v>
      </c>
      <c r="H301" s="72" t="s">
        <v>1905</v>
      </c>
      <c r="I301" s="72" t="s">
        <v>1893</v>
      </c>
      <c r="J301" s="77" t="s">
        <v>1893</v>
      </c>
      <c r="K301" s="77"/>
      <c r="L301" s="77"/>
      <c r="M301" s="78" t="s">
        <v>1961</v>
      </c>
      <c r="N301" s="78" t="s">
        <v>1962</v>
      </c>
      <c r="O301" s="78"/>
      <c r="P301" s="86">
        <v>9.57</v>
      </c>
    </row>
    <row r="302" spans="1:16" x14ac:dyDescent="0.3">
      <c r="A302" s="72" t="s">
        <v>2009</v>
      </c>
      <c r="B302" s="72" t="s">
        <v>2010</v>
      </c>
      <c r="C302" s="74">
        <v>2017</v>
      </c>
      <c r="D302" s="81">
        <v>8.81</v>
      </c>
      <c r="E302" s="72" t="s">
        <v>1958</v>
      </c>
      <c r="F302" s="76" t="s">
        <v>1959</v>
      </c>
      <c r="G302" s="72" t="s">
        <v>1960</v>
      </c>
      <c r="H302" s="72" t="s">
        <v>1905</v>
      </c>
      <c r="I302" s="72" t="s">
        <v>1893</v>
      </c>
      <c r="J302" s="77" t="s">
        <v>1893</v>
      </c>
      <c r="K302" s="77"/>
      <c r="L302" s="77"/>
      <c r="M302" s="78" t="s">
        <v>1961</v>
      </c>
      <c r="N302" s="78" t="s">
        <v>1962</v>
      </c>
      <c r="O302" s="78"/>
      <c r="P302" s="86">
        <v>9.6000000000000014</v>
      </c>
    </row>
    <row r="303" spans="1:16" x14ac:dyDescent="0.3">
      <c r="A303" s="72" t="s">
        <v>2011</v>
      </c>
      <c r="B303" s="72" t="s">
        <v>2012</v>
      </c>
      <c r="C303" s="74">
        <v>2017</v>
      </c>
      <c r="D303" s="81">
        <v>10.68</v>
      </c>
      <c r="E303" s="72" t="s">
        <v>1958</v>
      </c>
      <c r="F303" s="76" t="s">
        <v>1959</v>
      </c>
      <c r="G303" s="72" t="s">
        <v>1960</v>
      </c>
      <c r="H303" s="72" t="s">
        <v>1905</v>
      </c>
      <c r="I303" s="72" t="s">
        <v>1893</v>
      </c>
      <c r="J303" s="77" t="s">
        <v>1893</v>
      </c>
      <c r="K303" s="77"/>
      <c r="L303" s="77"/>
      <c r="M303" s="78" t="s">
        <v>1961</v>
      </c>
      <c r="N303" s="78" t="s">
        <v>1962</v>
      </c>
      <c r="O303" s="78"/>
      <c r="P303" s="86">
        <v>11.469999999999999</v>
      </c>
    </row>
    <row r="304" spans="1:16" x14ac:dyDescent="0.3">
      <c r="A304" s="72" t="s">
        <v>2013</v>
      </c>
      <c r="B304" s="72" t="s">
        <v>2014</v>
      </c>
      <c r="C304" s="74">
        <v>2017</v>
      </c>
      <c r="D304" s="81">
        <v>7.4</v>
      </c>
      <c r="E304" s="72" t="s">
        <v>1958</v>
      </c>
      <c r="F304" s="76" t="s">
        <v>1959</v>
      </c>
      <c r="G304" s="72" t="s">
        <v>1960</v>
      </c>
      <c r="H304" s="72" t="s">
        <v>1905</v>
      </c>
      <c r="I304" s="72" t="s">
        <v>1893</v>
      </c>
      <c r="J304" s="77" t="s">
        <v>1893</v>
      </c>
      <c r="K304" s="77"/>
      <c r="L304" s="77"/>
      <c r="M304" s="78" t="s">
        <v>1961</v>
      </c>
      <c r="N304" s="78" t="s">
        <v>1962</v>
      </c>
      <c r="O304" s="78"/>
      <c r="P304" s="86">
        <v>8.76</v>
      </c>
    </row>
    <row r="305" spans="1:16" x14ac:dyDescent="0.3">
      <c r="A305" s="72" t="s">
        <v>2015</v>
      </c>
      <c r="B305" s="72" t="s">
        <v>2016</v>
      </c>
      <c r="C305" s="74">
        <v>2017</v>
      </c>
      <c r="D305" s="81">
        <v>7.4</v>
      </c>
      <c r="E305" s="72" t="s">
        <v>1958</v>
      </c>
      <c r="F305" s="76" t="s">
        <v>1959</v>
      </c>
      <c r="G305" s="72" t="s">
        <v>1960</v>
      </c>
      <c r="H305" s="72" t="s">
        <v>1905</v>
      </c>
      <c r="I305" s="72" t="s">
        <v>1893</v>
      </c>
      <c r="J305" s="77" t="s">
        <v>1893</v>
      </c>
      <c r="K305" s="77"/>
      <c r="L305" s="77"/>
      <c r="M305" s="78" t="s">
        <v>1961</v>
      </c>
      <c r="N305" s="78" t="s">
        <v>1962</v>
      </c>
      <c r="O305" s="78"/>
      <c r="P305" s="86">
        <v>8.76</v>
      </c>
    </row>
    <row r="306" spans="1:16" x14ac:dyDescent="0.3">
      <c r="A306" s="72" t="s">
        <v>2017</v>
      </c>
      <c r="B306" s="72" t="s">
        <v>2018</v>
      </c>
      <c r="C306" s="74">
        <v>2017</v>
      </c>
      <c r="D306" s="81">
        <v>7.4</v>
      </c>
      <c r="E306" s="72" t="s">
        <v>1958</v>
      </c>
      <c r="F306" s="76" t="s">
        <v>1959</v>
      </c>
      <c r="G306" s="72" t="s">
        <v>1960</v>
      </c>
      <c r="H306" s="72" t="s">
        <v>1905</v>
      </c>
      <c r="I306" s="72" t="s">
        <v>1893</v>
      </c>
      <c r="J306" s="77" t="s">
        <v>1893</v>
      </c>
      <c r="K306" s="77"/>
      <c r="L306" s="77"/>
      <c r="M306" s="78" t="s">
        <v>1961</v>
      </c>
      <c r="N306" s="78" t="s">
        <v>1962</v>
      </c>
      <c r="O306" s="78"/>
      <c r="P306" s="86">
        <v>8.76</v>
      </c>
    </row>
    <row r="307" spans="1:16" x14ac:dyDescent="0.3">
      <c r="A307" s="72" t="s">
        <v>2019</v>
      </c>
      <c r="B307" s="72" t="s">
        <v>2020</v>
      </c>
      <c r="C307" s="74">
        <v>2017</v>
      </c>
      <c r="D307" s="81">
        <v>7.4</v>
      </c>
      <c r="E307" s="72" t="s">
        <v>1958</v>
      </c>
      <c r="F307" s="76" t="s">
        <v>1959</v>
      </c>
      <c r="G307" s="72" t="s">
        <v>1960</v>
      </c>
      <c r="H307" s="72" t="s">
        <v>1905</v>
      </c>
      <c r="I307" s="72" t="s">
        <v>1893</v>
      </c>
      <c r="J307" s="77" t="s">
        <v>1893</v>
      </c>
      <c r="K307" s="77"/>
      <c r="L307" s="77"/>
      <c r="M307" s="78" t="s">
        <v>1961</v>
      </c>
      <c r="N307" s="78" t="s">
        <v>1962</v>
      </c>
      <c r="O307" s="78"/>
      <c r="P307" s="86">
        <v>8.76</v>
      </c>
    </row>
    <row r="308" spans="1:16" x14ac:dyDescent="0.3">
      <c r="A308" s="72" t="s">
        <v>2021</v>
      </c>
      <c r="B308" s="72" t="s">
        <v>2022</v>
      </c>
      <c r="C308" s="74">
        <v>2017</v>
      </c>
      <c r="D308" s="81">
        <v>8.81</v>
      </c>
      <c r="E308" s="72" t="s">
        <v>1958</v>
      </c>
      <c r="F308" s="76" t="s">
        <v>1959</v>
      </c>
      <c r="G308" s="72" t="s">
        <v>1960</v>
      </c>
      <c r="H308" s="72" t="s">
        <v>1905</v>
      </c>
      <c r="I308" s="72" t="s">
        <v>1893</v>
      </c>
      <c r="J308" s="77" t="s">
        <v>1893</v>
      </c>
      <c r="K308" s="77"/>
      <c r="L308" s="77"/>
      <c r="M308" s="78" t="s">
        <v>1961</v>
      </c>
      <c r="N308" s="78" t="s">
        <v>1962</v>
      </c>
      <c r="O308" s="78"/>
      <c r="P308" s="86">
        <v>9.6000000000000014</v>
      </c>
    </row>
    <row r="309" spans="1:16" x14ac:dyDescent="0.3">
      <c r="A309" s="72" t="s">
        <v>2023</v>
      </c>
      <c r="B309" s="72" t="s">
        <v>2024</v>
      </c>
      <c r="C309" s="74">
        <v>2017</v>
      </c>
      <c r="D309" s="81">
        <v>10.68</v>
      </c>
      <c r="E309" s="72" t="s">
        <v>1958</v>
      </c>
      <c r="F309" s="76" t="s">
        <v>1959</v>
      </c>
      <c r="G309" s="72" t="s">
        <v>1960</v>
      </c>
      <c r="H309" s="72" t="s">
        <v>1905</v>
      </c>
      <c r="I309" s="72" t="s">
        <v>1893</v>
      </c>
      <c r="J309" s="77" t="s">
        <v>1893</v>
      </c>
      <c r="K309" s="77"/>
      <c r="L309" s="77"/>
      <c r="M309" s="78" t="s">
        <v>1961</v>
      </c>
      <c r="N309" s="78" t="s">
        <v>1962</v>
      </c>
      <c r="O309" s="78"/>
      <c r="P309" s="86">
        <v>11.469999999999999</v>
      </c>
    </row>
    <row r="310" spans="1:16" x14ac:dyDescent="0.3">
      <c r="A310" s="72" t="s">
        <v>2025</v>
      </c>
      <c r="B310" s="72" t="s">
        <v>2026</v>
      </c>
      <c r="C310" s="74">
        <v>2017</v>
      </c>
      <c r="D310" s="81">
        <v>10.68</v>
      </c>
      <c r="E310" s="72" t="s">
        <v>1958</v>
      </c>
      <c r="F310" s="76" t="s">
        <v>1959</v>
      </c>
      <c r="G310" s="72" t="s">
        <v>1960</v>
      </c>
      <c r="H310" s="72" t="s">
        <v>1905</v>
      </c>
      <c r="I310" s="72" t="s">
        <v>1893</v>
      </c>
      <c r="J310" s="77" t="s">
        <v>1893</v>
      </c>
      <c r="K310" s="77"/>
      <c r="L310" s="77"/>
      <c r="M310" s="78" t="s">
        <v>1961</v>
      </c>
      <c r="N310" s="78" t="s">
        <v>1962</v>
      </c>
      <c r="O310" s="78"/>
      <c r="P310" s="86">
        <v>11.469999999999999</v>
      </c>
    </row>
    <row r="311" spans="1:16" x14ac:dyDescent="0.3">
      <c r="A311" s="72" t="s">
        <v>2027</v>
      </c>
      <c r="B311" s="72" t="s">
        <v>2028</v>
      </c>
      <c r="C311" s="74">
        <v>2017</v>
      </c>
      <c r="D311" s="81">
        <v>7.4</v>
      </c>
      <c r="E311" s="72" t="s">
        <v>1958</v>
      </c>
      <c r="F311" s="76" t="s">
        <v>1959</v>
      </c>
      <c r="G311" s="72" t="s">
        <v>1960</v>
      </c>
      <c r="H311" s="72" t="s">
        <v>1905</v>
      </c>
      <c r="I311" s="72" t="s">
        <v>1893</v>
      </c>
      <c r="J311" s="77" t="s">
        <v>1893</v>
      </c>
      <c r="K311" s="77"/>
      <c r="L311" s="77"/>
      <c r="M311" s="78" t="s">
        <v>1961</v>
      </c>
      <c r="N311" s="78" t="s">
        <v>1962</v>
      </c>
      <c r="O311" s="78"/>
      <c r="P311" s="86">
        <v>8.56</v>
      </c>
    </row>
    <row r="312" spans="1:16" x14ac:dyDescent="0.3">
      <c r="A312" s="72" t="s">
        <v>2029</v>
      </c>
      <c r="B312" s="72" t="s">
        <v>2030</v>
      </c>
      <c r="C312" s="74">
        <v>2017</v>
      </c>
      <c r="D312" s="81">
        <v>7.4</v>
      </c>
      <c r="E312" s="72" t="s">
        <v>1958</v>
      </c>
      <c r="F312" s="76" t="s">
        <v>1959</v>
      </c>
      <c r="G312" s="72" t="s">
        <v>1960</v>
      </c>
      <c r="H312" s="72" t="s">
        <v>1905</v>
      </c>
      <c r="I312" s="72" t="s">
        <v>1893</v>
      </c>
      <c r="J312" s="77" t="s">
        <v>1893</v>
      </c>
      <c r="K312" s="77"/>
      <c r="L312" s="77"/>
      <c r="M312" s="78" t="s">
        <v>1961</v>
      </c>
      <c r="N312" s="78" t="s">
        <v>1962</v>
      </c>
      <c r="O312" s="78"/>
      <c r="P312" s="86">
        <v>8.56</v>
      </c>
    </row>
    <row r="313" spans="1:16" x14ac:dyDescent="0.3">
      <c r="A313" s="72" t="s">
        <v>2031</v>
      </c>
      <c r="B313" s="72" t="s">
        <v>2032</v>
      </c>
      <c r="C313" s="74">
        <v>2017</v>
      </c>
      <c r="D313" s="81">
        <v>8.81</v>
      </c>
      <c r="E313" s="72" t="s">
        <v>1958</v>
      </c>
      <c r="F313" s="76" t="s">
        <v>1959</v>
      </c>
      <c r="G313" s="72" t="s">
        <v>1960</v>
      </c>
      <c r="H313" s="72" t="s">
        <v>1905</v>
      </c>
      <c r="I313" s="72" t="s">
        <v>1893</v>
      </c>
      <c r="J313" s="77" t="s">
        <v>1893</v>
      </c>
      <c r="K313" s="77"/>
      <c r="L313" s="77"/>
      <c r="M313" s="78" t="s">
        <v>1961</v>
      </c>
      <c r="N313" s="78" t="s">
        <v>1962</v>
      </c>
      <c r="O313" s="78"/>
      <c r="P313" s="86">
        <v>9.9700000000000006</v>
      </c>
    </row>
    <row r="314" spans="1:16" x14ac:dyDescent="0.3">
      <c r="A314" s="72" t="s">
        <v>2033</v>
      </c>
      <c r="B314" s="72" t="s">
        <v>2034</v>
      </c>
      <c r="C314" s="74">
        <v>2017</v>
      </c>
      <c r="D314" s="81">
        <v>7.4</v>
      </c>
      <c r="E314" s="72" t="s">
        <v>1958</v>
      </c>
      <c r="F314" s="76" t="s">
        <v>1959</v>
      </c>
      <c r="G314" s="72" t="s">
        <v>1960</v>
      </c>
      <c r="H314" s="72" t="s">
        <v>1905</v>
      </c>
      <c r="I314" s="72" t="s">
        <v>1893</v>
      </c>
      <c r="J314" s="77" t="s">
        <v>1893</v>
      </c>
      <c r="K314" s="77"/>
      <c r="L314" s="77"/>
      <c r="M314" s="78" t="s">
        <v>1961</v>
      </c>
      <c r="N314" s="78" t="s">
        <v>1962</v>
      </c>
      <c r="O314" s="78"/>
      <c r="P314" s="86">
        <v>8.56</v>
      </c>
    </row>
    <row r="315" spans="1:16" x14ac:dyDescent="0.3">
      <c r="A315" s="72" t="s">
        <v>2035</v>
      </c>
      <c r="B315" s="72" t="s">
        <v>2036</v>
      </c>
      <c r="C315" s="74">
        <v>2017</v>
      </c>
      <c r="D315" s="81">
        <v>7.4</v>
      </c>
      <c r="E315" s="72" t="s">
        <v>1958</v>
      </c>
      <c r="F315" s="76" t="s">
        <v>1959</v>
      </c>
      <c r="G315" s="72" t="s">
        <v>1960</v>
      </c>
      <c r="H315" s="72" t="s">
        <v>1905</v>
      </c>
      <c r="I315" s="72" t="s">
        <v>1893</v>
      </c>
      <c r="J315" s="77" t="s">
        <v>1893</v>
      </c>
      <c r="K315" s="77"/>
      <c r="L315" s="77"/>
      <c r="M315" s="78" t="s">
        <v>1961</v>
      </c>
      <c r="N315" s="78" t="s">
        <v>1962</v>
      </c>
      <c r="O315" s="78"/>
      <c r="P315" s="86">
        <v>8.56</v>
      </c>
    </row>
    <row r="316" spans="1:16" x14ac:dyDescent="0.3">
      <c r="A316" s="72" t="s">
        <v>2037</v>
      </c>
      <c r="B316" s="72" t="s">
        <v>2038</v>
      </c>
      <c r="C316" s="74">
        <v>2017</v>
      </c>
      <c r="D316" s="81">
        <v>7.4</v>
      </c>
      <c r="E316" s="72" t="s">
        <v>1958</v>
      </c>
      <c r="F316" s="76" t="s">
        <v>1959</v>
      </c>
      <c r="G316" s="72" t="s">
        <v>1960</v>
      </c>
      <c r="H316" s="72" t="s">
        <v>1905</v>
      </c>
      <c r="I316" s="72" t="s">
        <v>1893</v>
      </c>
      <c r="J316" s="77" t="s">
        <v>1893</v>
      </c>
      <c r="K316" s="77"/>
      <c r="L316" s="77"/>
      <c r="M316" s="78" t="s">
        <v>1961</v>
      </c>
      <c r="N316" s="78" t="s">
        <v>1962</v>
      </c>
      <c r="O316" s="78"/>
      <c r="P316" s="86">
        <v>8.56</v>
      </c>
    </row>
    <row r="317" spans="1:16" x14ac:dyDescent="0.3">
      <c r="A317" s="72" t="s">
        <v>2039</v>
      </c>
      <c r="B317" s="72" t="s">
        <v>2040</v>
      </c>
      <c r="C317" s="74">
        <v>2017</v>
      </c>
      <c r="D317" s="81">
        <v>7.4</v>
      </c>
      <c r="E317" s="72" t="s">
        <v>1958</v>
      </c>
      <c r="F317" s="76" t="s">
        <v>1959</v>
      </c>
      <c r="G317" s="72" t="s">
        <v>1960</v>
      </c>
      <c r="H317" s="72" t="s">
        <v>1905</v>
      </c>
      <c r="I317" s="72" t="s">
        <v>1893</v>
      </c>
      <c r="J317" s="77" t="s">
        <v>1893</v>
      </c>
      <c r="K317" s="77"/>
      <c r="L317" s="77"/>
      <c r="M317" s="78" t="s">
        <v>1961</v>
      </c>
      <c r="N317" s="78" t="s">
        <v>1962</v>
      </c>
      <c r="O317" s="78"/>
      <c r="P317" s="86">
        <v>8.56</v>
      </c>
    </row>
    <row r="318" spans="1:16" x14ac:dyDescent="0.3">
      <c r="A318" s="72" t="s">
        <v>2041</v>
      </c>
      <c r="B318" s="72" t="s">
        <v>2042</v>
      </c>
      <c r="C318" s="74">
        <v>2017</v>
      </c>
      <c r="D318" s="81">
        <v>8.81</v>
      </c>
      <c r="E318" s="72" t="s">
        <v>1958</v>
      </c>
      <c r="F318" s="76" t="s">
        <v>1959</v>
      </c>
      <c r="G318" s="72" t="s">
        <v>1960</v>
      </c>
      <c r="H318" s="72" t="s">
        <v>1905</v>
      </c>
      <c r="I318" s="72" t="s">
        <v>1893</v>
      </c>
      <c r="J318" s="77" t="s">
        <v>1893</v>
      </c>
      <c r="K318" s="77"/>
      <c r="L318" s="77"/>
      <c r="M318" s="78" t="s">
        <v>1961</v>
      </c>
      <c r="N318" s="78" t="s">
        <v>1962</v>
      </c>
      <c r="O318" s="78"/>
      <c r="P318" s="86">
        <v>9.9700000000000006</v>
      </c>
    </row>
    <row r="319" spans="1:16" x14ac:dyDescent="0.3">
      <c r="A319" s="72" t="s">
        <v>2043</v>
      </c>
      <c r="B319" s="72" t="s">
        <v>2044</v>
      </c>
      <c r="C319" s="74">
        <v>2017</v>
      </c>
      <c r="D319" s="81">
        <v>10.68</v>
      </c>
      <c r="E319" s="72" t="s">
        <v>1958</v>
      </c>
      <c r="F319" s="76" t="s">
        <v>1959</v>
      </c>
      <c r="G319" s="72" t="s">
        <v>1960</v>
      </c>
      <c r="H319" s="72" t="s">
        <v>1905</v>
      </c>
      <c r="I319" s="72" t="s">
        <v>1893</v>
      </c>
      <c r="J319" s="77" t="s">
        <v>1893</v>
      </c>
      <c r="K319" s="77"/>
      <c r="L319" s="77"/>
      <c r="M319" s="78" t="s">
        <v>1961</v>
      </c>
      <c r="N319" s="78" t="s">
        <v>1962</v>
      </c>
      <c r="O319" s="78"/>
      <c r="P319" s="86">
        <v>11.84</v>
      </c>
    </row>
    <row r="320" spans="1:16" x14ac:dyDescent="0.3">
      <c r="A320" s="72" t="s">
        <v>2097</v>
      </c>
      <c r="B320" s="88" t="s">
        <v>2098</v>
      </c>
      <c r="C320" s="74">
        <v>2017</v>
      </c>
      <c r="D320" s="81">
        <v>14.61</v>
      </c>
      <c r="E320" s="72" t="s">
        <v>1958</v>
      </c>
      <c r="F320" s="76" t="s">
        <v>1959</v>
      </c>
      <c r="G320" s="72" t="s">
        <v>2099</v>
      </c>
      <c r="H320" s="72" t="s">
        <v>1905</v>
      </c>
      <c r="I320" s="72" t="s">
        <v>1893</v>
      </c>
      <c r="J320" s="77" t="s">
        <v>1893</v>
      </c>
      <c r="K320" s="77"/>
      <c r="L320" s="77"/>
      <c r="M320" s="78" t="s">
        <v>1961</v>
      </c>
      <c r="N320" s="78" t="s">
        <v>1962</v>
      </c>
      <c r="O320" s="78"/>
      <c r="P320" s="80">
        <v>14.61</v>
      </c>
    </row>
    <row r="321" spans="1:16" x14ac:dyDescent="0.3">
      <c r="A321" s="72" t="s">
        <v>2100</v>
      </c>
      <c r="B321" s="72" t="s">
        <v>2101</v>
      </c>
      <c r="C321" s="74">
        <v>2017</v>
      </c>
      <c r="D321" s="81">
        <v>5.77</v>
      </c>
      <c r="E321" s="72" t="s">
        <v>1831</v>
      </c>
      <c r="F321" s="76" t="s">
        <v>1832</v>
      </c>
      <c r="G321" s="72" t="s">
        <v>1909</v>
      </c>
      <c r="H321" s="72" t="s">
        <v>1905</v>
      </c>
      <c r="I321" s="72" t="s">
        <v>1893</v>
      </c>
      <c r="J321" s="77" t="s">
        <v>1893</v>
      </c>
      <c r="K321" s="77"/>
      <c r="L321" s="77"/>
      <c r="M321" s="78" t="s">
        <v>1961</v>
      </c>
      <c r="N321" s="78" t="s">
        <v>1962</v>
      </c>
      <c r="O321" s="78"/>
      <c r="P321" s="86">
        <v>6.4899999999999993</v>
      </c>
    </row>
    <row r="322" spans="1:16" x14ac:dyDescent="0.3">
      <c r="A322" s="72" t="s">
        <v>2102</v>
      </c>
      <c r="B322" s="72" t="s">
        <v>2103</v>
      </c>
      <c r="C322" s="74">
        <v>2017</v>
      </c>
      <c r="D322" s="81">
        <v>5.77</v>
      </c>
      <c r="E322" s="72" t="s">
        <v>1831</v>
      </c>
      <c r="F322" s="76" t="s">
        <v>1832</v>
      </c>
      <c r="G322" s="72" t="s">
        <v>1909</v>
      </c>
      <c r="H322" s="72" t="s">
        <v>1905</v>
      </c>
      <c r="I322" s="72" t="s">
        <v>1893</v>
      </c>
      <c r="J322" s="77" t="s">
        <v>1893</v>
      </c>
      <c r="K322" s="77"/>
      <c r="L322" s="77"/>
      <c r="M322" s="78" t="s">
        <v>1961</v>
      </c>
      <c r="N322" s="78" t="s">
        <v>1962</v>
      </c>
      <c r="O322" s="78"/>
      <c r="P322" s="86">
        <v>6.4899999999999993</v>
      </c>
    </row>
    <row r="323" spans="1:16" x14ac:dyDescent="0.3">
      <c r="A323" s="72" t="s">
        <v>2104</v>
      </c>
      <c r="B323" s="72" t="s">
        <v>2105</v>
      </c>
      <c r="C323" s="74">
        <v>2017</v>
      </c>
      <c r="D323" s="81">
        <v>5.77</v>
      </c>
      <c r="E323" s="72" t="s">
        <v>1831</v>
      </c>
      <c r="F323" s="76" t="s">
        <v>1832</v>
      </c>
      <c r="G323" s="72" t="s">
        <v>1909</v>
      </c>
      <c r="H323" s="72" t="s">
        <v>1905</v>
      </c>
      <c r="I323" s="72" t="s">
        <v>1893</v>
      </c>
      <c r="J323" s="77" t="s">
        <v>1893</v>
      </c>
      <c r="K323" s="77"/>
      <c r="L323" s="77"/>
      <c r="M323" s="78" t="s">
        <v>1961</v>
      </c>
      <c r="N323" s="78" t="s">
        <v>1962</v>
      </c>
      <c r="O323" s="78"/>
      <c r="P323" s="86">
        <v>6.4899999999999993</v>
      </c>
    </row>
    <row r="324" spans="1:16" x14ac:dyDescent="0.3">
      <c r="A324" s="72" t="s">
        <v>2106</v>
      </c>
      <c r="B324" s="72" t="s">
        <v>2107</v>
      </c>
      <c r="C324" s="74">
        <v>2017</v>
      </c>
      <c r="D324" s="81">
        <v>5.77</v>
      </c>
      <c r="E324" s="72" t="s">
        <v>1831</v>
      </c>
      <c r="F324" s="76" t="s">
        <v>1832</v>
      </c>
      <c r="G324" s="72" t="s">
        <v>1909</v>
      </c>
      <c r="H324" s="72" t="s">
        <v>1905</v>
      </c>
      <c r="I324" s="72" t="s">
        <v>1893</v>
      </c>
      <c r="J324" s="77" t="s">
        <v>1893</v>
      </c>
      <c r="K324" s="77"/>
      <c r="L324" s="77"/>
      <c r="M324" s="78" t="s">
        <v>1961</v>
      </c>
      <c r="N324" s="78" t="s">
        <v>1962</v>
      </c>
      <c r="O324" s="78"/>
      <c r="P324" s="86">
        <v>6.4899999999999993</v>
      </c>
    </row>
    <row r="325" spans="1:16" x14ac:dyDescent="0.3">
      <c r="A325" s="72" t="s">
        <v>2108</v>
      </c>
      <c r="B325" s="72" t="s">
        <v>2109</v>
      </c>
      <c r="C325" s="74">
        <v>2017</v>
      </c>
      <c r="D325" s="81">
        <v>6.87</v>
      </c>
      <c r="E325" s="72" t="s">
        <v>1831</v>
      </c>
      <c r="F325" s="76" t="s">
        <v>1832</v>
      </c>
      <c r="G325" s="72" t="s">
        <v>1909</v>
      </c>
      <c r="H325" s="72" t="s">
        <v>1905</v>
      </c>
      <c r="I325" s="72" t="s">
        <v>1893</v>
      </c>
      <c r="J325" s="77" t="s">
        <v>1893</v>
      </c>
      <c r="K325" s="77"/>
      <c r="L325" s="77"/>
      <c r="M325" s="78" t="s">
        <v>1961</v>
      </c>
      <c r="N325" s="78" t="s">
        <v>1962</v>
      </c>
      <c r="O325" s="78"/>
      <c r="P325" s="86">
        <v>7.67</v>
      </c>
    </row>
    <row r="326" spans="1:16" x14ac:dyDescent="0.3">
      <c r="A326" s="72" t="s">
        <v>2110</v>
      </c>
      <c r="B326" s="72" t="s">
        <v>2111</v>
      </c>
      <c r="C326" s="74">
        <v>2017</v>
      </c>
      <c r="D326" s="81">
        <v>6.87</v>
      </c>
      <c r="E326" s="72" t="s">
        <v>1831</v>
      </c>
      <c r="F326" s="76" t="s">
        <v>1832</v>
      </c>
      <c r="G326" s="72" t="s">
        <v>1909</v>
      </c>
      <c r="H326" s="72" t="s">
        <v>1905</v>
      </c>
      <c r="I326" s="72" t="s">
        <v>1893</v>
      </c>
      <c r="J326" s="77" t="s">
        <v>1893</v>
      </c>
      <c r="K326" s="77"/>
      <c r="L326" s="77"/>
      <c r="M326" s="78" t="s">
        <v>1961</v>
      </c>
      <c r="N326" s="78" t="s">
        <v>1962</v>
      </c>
      <c r="O326" s="78"/>
      <c r="P326" s="86">
        <v>7.63</v>
      </c>
    </row>
    <row r="327" spans="1:16" x14ac:dyDescent="0.3">
      <c r="A327" s="72" t="s">
        <v>2112</v>
      </c>
      <c r="B327" s="72" t="s">
        <v>2113</v>
      </c>
      <c r="C327" s="74">
        <v>2017</v>
      </c>
      <c r="D327" s="81">
        <v>6.87</v>
      </c>
      <c r="E327" s="72" t="s">
        <v>1831</v>
      </c>
      <c r="F327" s="76" t="s">
        <v>1832</v>
      </c>
      <c r="G327" s="72" t="s">
        <v>1909</v>
      </c>
      <c r="H327" s="72" t="s">
        <v>1905</v>
      </c>
      <c r="I327" s="72" t="s">
        <v>1893</v>
      </c>
      <c r="J327" s="77" t="s">
        <v>1893</v>
      </c>
      <c r="K327" s="77"/>
      <c r="L327" s="77"/>
      <c r="M327" s="78" t="s">
        <v>1961</v>
      </c>
      <c r="N327" s="78" t="s">
        <v>1962</v>
      </c>
      <c r="O327" s="78"/>
      <c r="P327" s="86">
        <v>7.67</v>
      </c>
    </row>
    <row r="328" spans="1:16" x14ac:dyDescent="0.3">
      <c r="A328" s="72" t="s">
        <v>2114</v>
      </c>
      <c r="B328" s="72" t="s">
        <v>2115</v>
      </c>
      <c r="C328" s="74">
        <v>2017</v>
      </c>
      <c r="D328" s="81">
        <v>8.33</v>
      </c>
      <c r="E328" s="72" t="s">
        <v>1831</v>
      </c>
      <c r="F328" s="76" t="s">
        <v>1832</v>
      </c>
      <c r="G328" s="72" t="s">
        <v>1909</v>
      </c>
      <c r="H328" s="72" t="s">
        <v>1905</v>
      </c>
      <c r="I328" s="72" t="s">
        <v>1893</v>
      </c>
      <c r="J328" s="77" t="s">
        <v>1893</v>
      </c>
      <c r="K328" s="77"/>
      <c r="L328" s="77"/>
      <c r="M328" s="78" t="s">
        <v>1961</v>
      </c>
      <c r="N328" s="78" t="s">
        <v>1962</v>
      </c>
      <c r="O328" s="78"/>
      <c r="P328" s="86">
        <v>8.9499999999999993</v>
      </c>
    </row>
    <row r="329" spans="1:16" ht="96.6" x14ac:dyDescent="0.3">
      <c r="A329" s="72" t="s">
        <v>2116</v>
      </c>
      <c r="B329" s="84" t="s">
        <v>2117</v>
      </c>
      <c r="C329" s="74">
        <v>2017</v>
      </c>
      <c r="D329" s="81">
        <v>7.42</v>
      </c>
      <c r="E329" s="72" t="s">
        <v>1831</v>
      </c>
      <c r="F329" s="76" t="s">
        <v>1832</v>
      </c>
      <c r="G329" s="72" t="s">
        <v>1909</v>
      </c>
      <c r="H329" s="72" t="s">
        <v>1905</v>
      </c>
      <c r="I329" s="72" t="s">
        <v>1893</v>
      </c>
      <c r="J329" s="77" t="s">
        <v>1893</v>
      </c>
      <c r="K329" s="77"/>
      <c r="L329" s="77"/>
      <c r="M329" s="78" t="s">
        <v>1961</v>
      </c>
      <c r="N329" s="78" t="s">
        <v>1962</v>
      </c>
      <c r="O329" s="78"/>
      <c r="P329" s="86">
        <v>8.7799999999999994</v>
      </c>
    </row>
    <row r="330" spans="1:16" ht="96.6" x14ac:dyDescent="0.3">
      <c r="A330" s="72" t="s">
        <v>2118</v>
      </c>
      <c r="B330" s="84" t="s">
        <v>2119</v>
      </c>
      <c r="C330" s="74">
        <v>2017</v>
      </c>
      <c r="D330" s="81">
        <v>7.42</v>
      </c>
      <c r="E330" s="72" t="s">
        <v>1831</v>
      </c>
      <c r="F330" s="76" t="s">
        <v>1832</v>
      </c>
      <c r="G330" s="72" t="s">
        <v>1909</v>
      </c>
      <c r="H330" s="72" t="s">
        <v>1905</v>
      </c>
      <c r="I330" s="72" t="s">
        <v>1893</v>
      </c>
      <c r="J330" s="77" t="s">
        <v>1893</v>
      </c>
      <c r="K330" s="77"/>
      <c r="L330" s="77"/>
      <c r="M330" s="78" t="s">
        <v>1961</v>
      </c>
      <c r="N330" s="78" t="s">
        <v>1962</v>
      </c>
      <c r="O330" s="78"/>
      <c r="P330" s="86">
        <v>8.7799999999999994</v>
      </c>
    </row>
    <row r="331" spans="1:16" ht="96.6" x14ac:dyDescent="0.3">
      <c r="A331" s="72" t="s">
        <v>2120</v>
      </c>
      <c r="B331" s="84" t="s">
        <v>2121</v>
      </c>
      <c r="C331" s="74">
        <v>2017</v>
      </c>
      <c r="D331" s="81">
        <v>7.42</v>
      </c>
      <c r="E331" s="72" t="s">
        <v>1831</v>
      </c>
      <c r="F331" s="76" t="s">
        <v>1832</v>
      </c>
      <c r="G331" s="72" t="s">
        <v>1909</v>
      </c>
      <c r="H331" s="72" t="s">
        <v>1905</v>
      </c>
      <c r="I331" s="72" t="s">
        <v>1893</v>
      </c>
      <c r="J331" s="77" t="s">
        <v>1893</v>
      </c>
      <c r="K331" s="77"/>
      <c r="L331" s="77"/>
      <c r="M331" s="78" t="s">
        <v>1961</v>
      </c>
      <c r="N331" s="78" t="s">
        <v>1962</v>
      </c>
      <c r="O331" s="78"/>
      <c r="P331" s="86">
        <v>8.7799999999999994</v>
      </c>
    </row>
    <row r="332" spans="1:16" ht="96.6" x14ac:dyDescent="0.3">
      <c r="A332" s="72" t="s">
        <v>2122</v>
      </c>
      <c r="B332" s="84" t="s">
        <v>2123</v>
      </c>
      <c r="C332" s="74">
        <v>2017</v>
      </c>
      <c r="D332" s="81">
        <v>7.42</v>
      </c>
      <c r="E332" s="72" t="s">
        <v>1831</v>
      </c>
      <c r="F332" s="76" t="s">
        <v>1832</v>
      </c>
      <c r="G332" s="72" t="s">
        <v>1909</v>
      </c>
      <c r="H332" s="72" t="s">
        <v>1905</v>
      </c>
      <c r="I332" s="72" t="s">
        <v>1893</v>
      </c>
      <c r="J332" s="77" t="s">
        <v>1893</v>
      </c>
      <c r="K332" s="77"/>
      <c r="L332" s="77"/>
      <c r="M332" s="78" t="s">
        <v>1961</v>
      </c>
      <c r="N332" s="78" t="s">
        <v>1962</v>
      </c>
      <c r="O332" s="78"/>
      <c r="P332" s="86">
        <v>8.7799999999999994</v>
      </c>
    </row>
    <row r="333" spans="1:16" ht="96.6" x14ac:dyDescent="0.3">
      <c r="A333" s="72" t="s">
        <v>2124</v>
      </c>
      <c r="B333" s="84" t="s">
        <v>2125</v>
      </c>
      <c r="C333" s="74">
        <v>2017</v>
      </c>
      <c r="D333" s="81">
        <v>8.83</v>
      </c>
      <c r="E333" s="72" t="s">
        <v>1831</v>
      </c>
      <c r="F333" s="76" t="s">
        <v>1832</v>
      </c>
      <c r="G333" s="72" t="s">
        <v>1909</v>
      </c>
      <c r="H333" s="72" t="s">
        <v>1905</v>
      </c>
      <c r="I333" s="72" t="s">
        <v>1893</v>
      </c>
      <c r="J333" s="77" t="s">
        <v>1893</v>
      </c>
      <c r="K333" s="77"/>
      <c r="L333" s="77"/>
      <c r="M333" s="78" t="s">
        <v>1961</v>
      </c>
      <c r="N333" s="78" t="s">
        <v>1962</v>
      </c>
      <c r="O333" s="78"/>
      <c r="P333" s="86">
        <v>9.6300000000000008</v>
      </c>
    </row>
    <row r="334" spans="1:16" ht="96.6" x14ac:dyDescent="0.3">
      <c r="A334" s="72" t="s">
        <v>2126</v>
      </c>
      <c r="B334" s="84" t="s">
        <v>2127</v>
      </c>
      <c r="C334" s="74">
        <v>2017</v>
      </c>
      <c r="D334" s="81">
        <v>10.71</v>
      </c>
      <c r="E334" s="72" t="s">
        <v>1831</v>
      </c>
      <c r="F334" s="76" t="s">
        <v>1832</v>
      </c>
      <c r="G334" s="72" t="s">
        <v>1909</v>
      </c>
      <c r="H334" s="72" t="s">
        <v>1905</v>
      </c>
      <c r="I334" s="72" t="s">
        <v>1893</v>
      </c>
      <c r="J334" s="77" t="s">
        <v>1893</v>
      </c>
      <c r="K334" s="77"/>
      <c r="L334" s="77"/>
      <c r="M334" s="78" t="s">
        <v>1961</v>
      </c>
      <c r="N334" s="78" t="s">
        <v>1962</v>
      </c>
      <c r="O334" s="78"/>
      <c r="P334" s="86">
        <v>11.510000000000002</v>
      </c>
    </row>
    <row r="335" spans="1:16" ht="96.6" x14ac:dyDescent="0.3">
      <c r="A335" s="72" t="s">
        <v>2128</v>
      </c>
      <c r="B335" s="84" t="s">
        <v>2129</v>
      </c>
      <c r="C335" s="74">
        <v>2017</v>
      </c>
      <c r="D335" s="81">
        <v>10.71</v>
      </c>
      <c r="E335" s="72" t="s">
        <v>1831</v>
      </c>
      <c r="F335" s="76" t="s">
        <v>1832</v>
      </c>
      <c r="G335" s="72" t="s">
        <v>1909</v>
      </c>
      <c r="H335" s="72" t="s">
        <v>1905</v>
      </c>
      <c r="I335" s="72" t="s">
        <v>1893</v>
      </c>
      <c r="J335" s="77" t="s">
        <v>1893</v>
      </c>
      <c r="K335" s="77"/>
      <c r="L335" s="77"/>
      <c r="M335" s="78" t="s">
        <v>1961</v>
      </c>
      <c r="N335" s="78" t="s">
        <v>1962</v>
      </c>
      <c r="O335" s="78"/>
      <c r="P335" s="86">
        <v>11.510000000000002</v>
      </c>
    </row>
    <row r="336" spans="1:16" ht="82.8" x14ac:dyDescent="0.3">
      <c r="A336" s="72" t="s">
        <v>2130</v>
      </c>
      <c r="B336" s="84" t="s">
        <v>2131</v>
      </c>
      <c r="C336" s="74">
        <v>2017</v>
      </c>
      <c r="D336" s="81">
        <v>5.77</v>
      </c>
      <c r="E336" s="72" t="s">
        <v>1831</v>
      </c>
      <c r="F336" s="76" t="s">
        <v>1832</v>
      </c>
      <c r="G336" s="72" t="s">
        <v>1909</v>
      </c>
      <c r="H336" s="72" t="s">
        <v>1905</v>
      </c>
      <c r="I336" s="72" t="s">
        <v>1893</v>
      </c>
      <c r="J336" s="77" t="s">
        <v>1893</v>
      </c>
      <c r="K336" s="77"/>
      <c r="L336" s="77"/>
      <c r="M336" s="78" t="s">
        <v>1961</v>
      </c>
      <c r="N336" s="78" t="s">
        <v>1962</v>
      </c>
      <c r="O336" s="78"/>
      <c r="P336" s="86">
        <v>6.68</v>
      </c>
    </row>
    <row r="337" spans="1:16" ht="82.8" x14ac:dyDescent="0.3">
      <c r="A337" s="72" t="s">
        <v>2132</v>
      </c>
      <c r="B337" s="84" t="s">
        <v>2133</v>
      </c>
      <c r="C337" s="74">
        <v>2017</v>
      </c>
      <c r="D337" s="81">
        <v>5.77</v>
      </c>
      <c r="E337" s="72" t="s">
        <v>1831</v>
      </c>
      <c r="F337" s="76" t="s">
        <v>1832</v>
      </c>
      <c r="G337" s="72" t="s">
        <v>1909</v>
      </c>
      <c r="H337" s="72" t="s">
        <v>1905</v>
      </c>
      <c r="I337" s="72" t="s">
        <v>1893</v>
      </c>
      <c r="J337" s="77" t="s">
        <v>1893</v>
      </c>
      <c r="K337" s="77"/>
      <c r="L337" s="77"/>
      <c r="M337" s="78" t="s">
        <v>1961</v>
      </c>
      <c r="N337" s="78" t="s">
        <v>1962</v>
      </c>
      <c r="O337" s="78"/>
      <c r="P337" s="86">
        <v>6.68</v>
      </c>
    </row>
    <row r="338" spans="1:16" ht="82.8" x14ac:dyDescent="0.3">
      <c r="A338" s="72" t="s">
        <v>2134</v>
      </c>
      <c r="B338" s="84" t="s">
        <v>2135</v>
      </c>
      <c r="C338" s="74">
        <v>2017</v>
      </c>
      <c r="D338" s="81">
        <v>6.87</v>
      </c>
      <c r="E338" s="72" t="s">
        <v>1831</v>
      </c>
      <c r="F338" s="76" t="s">
        <v>1832</v>
      </c>
      <c r="G338" s="72" t="s">
        <v>1909</v>
      </c>
      <c r="H338" s="72" t="s">
        <v>1905</v>
      </c>
      <c r="I338" s="72" t="s">
        <v>1893</v>
      </c>
      <c r="J338" s="77" t="s">
        <v>1893</v>
      </c>
      <c r="K338" s="77"/>
      <c r="L338" s="77"/>
      <c r="M338" s="78" t="s">
        <v>1961</v>
      </c>
      <c r="N338" s="78" t="s">
        <v>1962</v>
      </c>
      <c r="O338" s="78"/>
      <c r="P338" s="86">
        <v>7.78</v>
      </c>
    </row>
    <row r="339" spans="1:16" ht="82.8" x14ac:dyDescent="0.3">
      <c r="A339" s="72" t="s">
        <v>2136</v>
      </c>
      <c r="B339" s="84" t="s">
        <v>2137</v>
      </c>
      <c r="C339" s="74">
        <v>2017</v>
      </c>
      <c r="D339" s="81">
        <v>5.77</v>
      </c>
      <c r="E339" s="72" t="s">
        <v>1831</v>
      </c>
      <c r="F339" s="76" t="s">
        <v>1832</v>
      </c>
      <c r="G339" s="72" t="s">
        <v>1909</v>
      </c>
      <c r="H339" s="72" t="s">
        <v>1905</v>
      </c>
      <c r="I339" s="72" t="s">
        <v>1893</v>
      </c>
      <c r="J339" s="77" t="s">
        <v>1893</v>
      </c>
      <c r="K339" s="77"/>
      <c r="L339" s="77"/>
      <c r="M339" s="78" t="s">
        <v>1961</v>
      </c>
      <c r="N339" s="78" t="s">
        <v>1962</v>
      </c>
      <c r="O339" s="78"/>
      <c r="P339" s="86">
        <v>6.68</v>
      </c>
    </row>
    <row r="340" spans="1:16" ht="110.4" x14ac:dyDescent="0.3">
      <c r="A340" s="72" t="s">
        <v>2138</v>
      </c>
      <c r="B340" s="84" t="s">
        <v>2139</v>
      </c>
      <c r="C340" s="74">
        <v>2017</v>
      </c>
      <c r="D340" s="81">
        <v>5.77</v>
      </c>
      <c r="E340" s="72" t="s">
        <v>1831</v>
      </c>
      <c r="F340" s="76" t="s">
        <v>1832</v>
      </c>
      <c r="G340" s="72" t="s">
        <v>1909</v>
      </c>
      <c r="H340" s="72" t="s">
        <v>1905</v>
      </c>
      <c r="I340" s="72" t="s">
        <v>1893</v>
      </c>
      <c r="J340" s="77" t="s">
        <v>1893</v>
      </c>
      <c r="K340" s="77"/>
      <c r="L340" s="77"/>
      <c r="M340" s="78" t="s">
        <v>1961</v>
      </c>
      <c r="N340" s="78" t="s">
        <v>1962</v>
      </c>
      <c r="O340" s="78"/>
      <c r="P340" s="86">
        <v>6.68</v>
      </c>
    </row>
    <row r="341" spans="1:16" ht="110.4" x14ac:dyDescent="0.3">
      <c r="A341" s="72" t="s">
        <v>2140</v>
      </c>
      <c r="B341" s="84" t="s">
        <v>2141</v>
      </c>
      <c r="C341" s="74">
        <v>2017</v>
      </c>
      <c r="D341" s="81">
        <v>5.77</v>
      </c>
      <c r="E341" s="72" t="s">
        <v>1831</v>
      </c>
      <c r="F341" s="76" t="s">
        <v>1832</v>
      </c>
      <c r="G341" s="72" t="s">
        <v>1909</v>
      </c>
      <c r="H341" s="72" t="s">
        <v>1905</v>
      </c>
      <c r="I341" s="72" t="s">
        <v>1893</v>
      </c>
      <c r="J341" s="77" t="s">
        <v>1893</v>
      </c>
      <c r="K341" s="77"/>
      <c r="L341" s="77"/>
      <c r="M341" s="78" t="s">
        <v>1961</v>
      </c>
      <c r="N341" s="78" t="s">
        <v>1962</v>
      </c>
      <c r="O341" s="78"/>
      <c r="P341" s="86">
        <v>6.68</v>
      </c>
    </row>
    <row r="342" spans="1:16" ht="110.4" x14ac:dyDescent="0.3">
      <c r="A342" s="72" t="s">
        <v>2142</v>
      </c>
      <c r="B342" s="84" t="s">
        <v>2143</v>
      </c>
      <c r="C342" s="74">
        <v>2017</v>
      </c>
      <c r="D342" s="81">
        <v>5.77</v>
      </c>
      <c r="E342" s="72" t="s">
        <v>1831</v>
      </c>
      <c r="F342" s="76" t="s">
        <v>1832</v>
      </c>
      <c r="G342" s="72" t="s">
        <v>1909</v>
      </c>
      <c r="H342" s="72" t="s">
        <v>1905</v>
      </c>
      <c r="I342" s="72" t="s">
        <v>1893</v>
      </c>
      <c r="J342" s="77" t="s">
        <v>1893</v>
      </c>
      <c r="K342" s="77"/>
      <c r="L342" s="77"/>
      <c r="M342" s="78" t="s">
        <v>1961</v>
      </c>
      <c r="N342" s="78" t="s">
        <v>1962</v>
      </c>
      <c r="O342" s="78"/>
      <c r="P342" s="86">
        <v>6.68</v>
      </c>
    </row>
    <row r="343" spans="1:16" ht="110.4" x14ac:dyDescent="0.3">
      <c r="A343" s="72" t="s">
        <v>2144</v>
      </c>
      <c r="B343" s="84" t="s">
        <v>2145</v>
      </c>
      <c r="C343" s="74">
        <v>2017</v>
      </c>
      <c r="D343" s="81">
        <v>6.87</v>
      </c>
      <c r="E343" s="72" t="s">
        <v>1831</v>
      </c>
      <c r="F343" s="76" t="s">
        <v>1832</v>
      </c>
      <c r="G343" s="72" t="s">
        <v>1909</v>
      </c>
      <c r="H343" s="72" t="s">
        <v>1905</v>
      </c>
      <c r="I343" s="72" t="s">
        <v>1893</v>
      </c>
      <c r="J343" s="77" t="s">
        <v>1893</v>
      </c>
      <c r="K343" s="77"/>
      <c r="L343" s="77"/>
      <c r="M343" s="78" t="s">
        <v>1961</v>
      </c>
      <c r="N343" s="78" t="s">
        <v>1962</v>
      </c>
      <c r="O343" s="78"/>
      <c r="P343" s="86">
        <v>7.78</v>
      </c>
    </row>
    <row r="344" spans="1:16" ht="110.4" x14ac:dyDescent="0.3">
      <c r="A344" s="72" t="s">
        <v>2146</v>
      </c>
      <c r="B344" s="84" t="s">
        <v>2147</v>
      </c>
      <c r="C344" s="74">
        <v>2017</v>
      </c>
      <c r="D344" s="81">
        <v>8.33</v>
      </c>
      <c r="E344" s="72" t="s">
        <v>1831</v>
      </c>
      <c r="F344" s="76" t="s">
        <v>1832</v>
      </c>
      <c r="G344" s="72" t="s">
        <v>1909</v>
      </c>
      <c r="H344" s="72" t="s">
        <v>1905</v>
      </c>
      <c r="I344" s="72" t="s">
        <v>1893</v>
      </c>
      <c r="J344" s="77" t="s">
        <v>1893</v>
      </c>
      <c r="K344" s="77"/>
      <c r="L344" s="77"/>
      <c r="M344" s="78" t="s">
        <v>1961</v>
      </c>
      <c r="N344" s="78" t="s">
        <v>1962</v>
      </c>
      <c r="O344" s="78"/>
      <c r="P344" s="86">
        <v>9.24</v>
      </c>
    </row>
    <row r="345" spans="1:16" x14ac:dyDescent="0.3">
      <c r="A345" s="72" t="s">
        <v>2148</v>
      </c>
      <c r="B345" s="72" t="s">
        <v>2149</v>
      </c>
      <c r="C345" s="74">
        <v>2017</v>
      </c>
      <c r="D345" s="81">
        <v>37.659999999999997</v>
      </c>
      <c r="E345" s="72" t="s">
        <v>1821</v>
      </c>
      <c r="F345" s="76" t="s">
        <v>1822</v>
      </c>
      <c r="G345" s="72" t="s">
        <v>2150</v>
      </c>
      <c r="H345" s="72" t="s">
        <v>1905</v>
      </c>
      <c r="I345" s="72" t="s">
        <v>1893</v>
      </c>
      <c r="J345" s="77" t="s">
        <v>1893</v>
      </c>
      <c r="K345" s="77"/>
      <c r="L345" s="77"/>
      <c r="M345" s="78" t="s">
        <v>1824</v>
      </c>
      <c r="N345" s="78" t="s">
        <v>1825</v>
      </c>
      <c r="O345" s="78"/>
      <c r="P345" s="80" t="e">
        <v>#N/A</v>
      </c>
    </row>
    <row r="346" spans="1:16" x14ac:dyDescent="0.3">
      <c r="A346" s="72" t="s">
        <v>2151</v>
      </c>
      <c r="B346" s="72" t="s">
        <v>2152</v>
      </c>
      <c r="C346" s="74">
        <v>2017</v>
      </c>
      <c r="D346" s="81">
        <v>39.22</v>
      </c>
      <c r="E346" s="72" t="s">
        <v>1821</v>
      </c>
      <c r="F346" s="76" t="s">
        <v>1822</v>
      </c>
      <c r="G346" s="72" t="s">
        <v>2150</v>
      </c>
      <c r="H346" s="72" t="s">
        <v>1905</v>
      </c>
      <c r="I346" s="72" t="s">
        <v>1893</v>
      </c>
      <c r="J346" s="77" t="s">
        <v>1893</v>
      </c>
      <c r="K346" s="77"/>
      <c r="L346" s="77"/>
      <c r="M346" s="78" t="s">
        <v>1824</v>
      </c>
      <c r="N346" s="78" t="s">
        <v>1825</v>
      </c>
      <c r="O346" s="78"/>
      <c r="P346" s="80" t="e">
        <v>#N/A</v>
      </c>
    </row>
    <row r="347" spans="1:16" x14ac:dyDescent="0.3">
      <c r="A347" s="72" t="s">
        <v>2153</v>
      </c>
      <c r="B347" s="72" t="s">
        <v>2154</v>
      </c>
      <c r="C347" s="74">
        <v>2017</v>
      </c>
      <c r="D347" s="81">
        <v>74.64</v>
      </c>
      <c r="E347" s="72" t="s">
        <v>1821</v>
      </c>
      <c r="F347" s="76" t="s">
        <v>1822</v>
      </c>
      <c r="G347" s="72" t="s">
        <v>2150</v>
      </c>
      <c r="H347" s="72" t="s">
        <v>1905</v>
      </c>
      <c r="I347" s="72" t="s">
        <v>1893</v>
      </c>
      <c r="J347" s="77" t="s">
        <v>1893</v>
      </c>
      <c r="K347" s="77"/>
      <c r="L347" s="77"/>
      <c r="M347" s="78" t="s">
        <v>1824</v>
      </c>
      <c r="N347" s="78" t="s">
        <v>1825</v>
      </c>
      <c r="O347" s="78"/>
      <c r="P347" s="80" t="e">
        <v>#N/A</v>
      </c>
    </row>
    <row r="348" spans="1:16" x14ac:dyDescent="0.3">
      <c r="A348" s="72" t="s">
        <v>2155</v>
      </c>
      <c r="B348" s="72" t="s">
        <v>2156</v>
      </c>
      <c r="C348" s="74">
        <v>2017</v>
      </c>
      <c r="D348" s="81">
        <v>41.09</v>
      </c>
      <c r="E348" s="72" t="s">
        <v>1821</v>
      </c>
      <c r="F348" s="76" t="s">
        <v>1822</v>
      </c>
      <c r="G348" s="72" t="s">
        <v>2150</v>
      </c>
      <c r="H348" s="72" t="s">
        <v>1905</v>
      </c>
      <c r="I348" s="72" t="s">
        <v>1893</v>
      </c>
      <c r="J348" s="77" t="s">
        <v>1893</v>
      </c>
      <c r="K348" s="77"/>
      <c r="L348" s="77"/>
      <c r="M348" s="78" t="s">
        <v>1824</v>
      </c>
      <c r="N348" s="78" t="s">
        <v>1825</v>
      </c>
      <c r="O348" s="78"/>
      <c r="P348" s="80" t="e">
        <v>#N/A</v>
      </c>
    </row>
    <row r="349" spans="1:16" x14ac:dyDescent="0.3">
      <c r="A349" s="72" t="s">
        <v>2157</v>
      </c>
      <c r="B349" s="72" t="s">
        <v>2158</v>
      </c>
      <c r="C349" s="74">
        <v>2017</v>
      </c>
      <c r="D349" s="81">
        <v>41.06</v>
      </c>
      <c r="E349" s="72" t="s">
        <v>1821</v>
      </c>
      <c r="F349" s="76" t="s">
        <v>1822</v>
      </c>
      <c r="G349" s="72" t="s">
        <v>2150</v>
      </c>
      <c r="H349" s="72" t="s">
        <v>1905</v>
      </c>
      <c r="I349" s="72" t="s">
        <v>1893</v>
      </c>
      <c r="J349" s="77" t="s">
        <v>1893</v>
      </c>
      <c r="K349" s="77"/>
      <c r="L349" s="77"/>
      <c r="M349" s="78" t="s">
        <v>1824</v>
      </c>
      <c r="N349" s="78" t="s">
        <v>1825</v>
      </c>
      <c r="O349" s="78"/>
      <c r="P349" s="80" t="e">
        <v>#N/A</v>
      </c>
    </row>
    <row r="350" spans="1:16" x14ac:dyDescent="0.3">
      <c r="A350" s="72" t="s">
        <v>2159</v>
      </c>
      <c r="B350" s="72" t="s">
        <v>2160</v>
      </c>
      <c r="C350" s="74">
        <v>2017</v>
      </c>
      <c r="D350" s="81">
        <v>87.7</v>
      </c>
      <c r="E350" s="72" t="s">
        <v>1821</v>
      </c>
      <c r="F350" s="76" t="s">
        <v>1822</v>
      </c>
      <c r="G350" s="72" t="s">
        <v>2150</v>
      </c>
      <c r="H350" s="72" t="s">
        <v>1905</v>
      </c>
      <c r="I350" s="72" t="s">
        <v>1893</v>
      </c>
      <c r="J350" s="77" t="s">
        <v>1893</v>
      </c>
      <c r="K350" s="77"/>
      <c r="L350" s="77"/>
      <c r="M350" s="78" t="s">
        <v>1824</v>
      </c>
      <c r="N350" s="78" t="s">
        <v>1825</v>
      </c>
      <c r="O350" s="78"/>
      <c r="P350" s="80" t="e">
        <v>#N/A</v>
      </c>
    </row>
    <row r="351" spans="1:16" x14ac:dyDescent="0.3">
      <c r="A351" s="72" t="s">
        <v>2161</v>
      </c>
      <c r="B351" s="72" t="s">
        <v>2162</v>
      </c>
      <c r="C351" s="74">
        <v>2017</v>
      </c>
      <c r="D351" s="81">
        <v>45.43</v>
      </c>
      <c r="E351" s="72" t="s">
        <v>1821</v>
      </c>
      <c r="F351" s="76" t="s">
        <v>1822</v>
      </c>
      <c r="G351" s="72" t="s">
        <v>2150</v>
      </c>
      <c r="H351" s="72" t="s">
        <v>1905</v>
      </c>
      <c r="I351" s="72" t="s">
        <v>1893</v>
      </c>
      <c r="J351" s="77" t="s">
        <v>1893</v>
      </c>
      <c r="K351" s="77"/>
      <c r="L351" s="77"/>
      <c r="M351" s="78" t="s">
        <v>1824</v>
      </c>
      <c r="N351" s="78" t="s">
        <v>1825</v>
      </c>
      <c r="O351" s="78"/>
      <c r="P351" s="80" t="e">
        <v>#N/A</v>
      </c>
    </row>
    <row r="352" spans="1:16" x14ac:dyDescent="0.3">
      <c r="A352" s="72" t="s">
        <v>2163</v>
      </c>
      <c r="B352" s="72" t="s">
        <v>2164</v>
      </c>
      <c r="C352" s="74">
        <v>2017</v>
      </c>
      <c r="D352" s="81">
        <v>43.83</v>
      </c>
      <c r="E352" s="72" t="s">
        <v>1821</v>
      </c>
      <c r="F352" s="76" t="s">
        <v>1822</v>
      </c>
      <c r="G352" s="72" t="s">
        <v>2150</v>
      </c>
      <c r="H352" s="72" t="s">
        <v>1905</v>
      </c>
      <c r="I352" s="72" t="s">
        <v>1893</v>
      </c>
      <c r="J352" s="77" t="s">
        <v>1893</v>
      </c>
      <c r="K352" s="77"/>
      <c r="L352" s="77"/>
      <c r="M352" s="78" t="s">
        <v>1824</v>
      </c>
      <c r="N352" s="78" t="s">
        <v>1825</v>
      </c>
      <c r="O352" s="78"/>
      <c r="P352" s="80" t="e">
        <v>#N/A</v>
      </c>
    </row>
    <row r="353" spans="1:16" x14ac:dyDescent="0.3">
      <c r="A353" s="72" t="s">
        <v>2165</v>
      </c>
      <c r="B353" s="72" t="s">
        <v>2166</v>
      </c>
      <c r="C353" s="74">
        <v>2017</v>
      </c>
      <c r="D353" s="81">
        <v>75.989999999999995</v>
      </c>
      <c r="E353" s="72" t="s">
        <v>1821</v>
      </c>
      <c r="F353" s="76" t="s">
        <v>1822</v>
      </c>
      <c r="G353" s="72" t="s">
        <v>2150</v>
      </c>
      <c r="H353" s="72" t="s">
        <v>1905</v>
      </c>
      <c r="I353" s="72" t="s">
        <v>1893</v>
      </c>
      <c r="J353" s="77" t="s">
        <v>1893</v>
      </c>
      <c r="K353" s="77"/>
      <c r="L353" s="77"/>
      <c r="M353" s="78" t="s">
        <v>1824</v>
      </c>
      <c r="N353" s="78" t="s">
        <v>1825</v>
      </c>
      <c r="O353" s="78"/>
      <c r="P353" s="80" t="e">
        <v>#N/A</v>
      </c>
    </row>
    <row r="354" spans="1:16" x14ac:dyDescent="0.3">
      <c r="A354" s="72" t="s">
        <v>254</v>
      </c>
      <c r="B354" s="72" t="s">
        <v>1149</v>
      </c>
      <c r="C354" s="74">
        <v>2017</v>
      </c>
      <c r="D354" s="81">
        <v>67.53</v>
      </c>
      <c r="E354" s="72" t="s">
        <v>1958</v>
      </c>
      <c r="F354" s="76" t="s">
        <v>1959</v>
      </c>
      <c r="G354" s="72" t="s">
        <v>2167</v>
      </c>
      <c r="H354" s="72" t="s">
        <v>1905</v>
      </c>
      <c r="I354" s="72" t="s">
        <v>2168</v>
      </c>
      <c r="J354" s="89">
        <v>26.11</v>
      </c>
      <c r="K354" s="72" t="s">
        <v>2169</v>
      </c>
      <c r="L354" s="81">
        <v>1.77</v>
      </c>
      <c r="M354" s="78" t="s">
        <v>1824</v>
      </c>
      <c r="N354" s="78" t="s">
        <v>1825</v>
      </c>
      <c r="O354" s="78"/>
      <c r="P354" s="80">
        <v>67.53</v>
      </c>
    </row>
    <row r="355" spans="1:16" x14ac:dyDescent="0.3">
      <c r="A355" s="72" t="s">
        <v>298</v>
      </c>
      <c r="B355" s="72" t="s">
        <v>1150</v>
      </c>
      <c r="C355" s="74">
        <v>2017</v>
      </c>
      <c r="D355" s="81">
        <v>86.09</v>
      </c>
      <c r="E355" s="72" t="s">
        <v>1958</v>
      </c>
      <c r="F355" s="76" t="s">
        <v>1959</v>
      </c>
      <c r="G355" s="72" t="s">
        <v>2167</v>
      </c>
      <c r="H355" s="72" t="s">
        <v>1905</v>
      </c>
      <c r="I355" s="72" t="s">
        <v>2170</v>
      </c>
      <c r="J355" s="89">
        <v>27.42</v>
      </c>
      <c r="K355" s="72" t="s">
        <v>2171</v>
      </c>
      <c r="L355" s="81">
        <v>1.77</v>
      </c>
      <c r="M355" s="78" t="s">
        <v>1824</v>
      </c>
      <c r="N355" s="78" t="s">
        <v>1825</v>
      </c>
      <c r="O355" s="78"/>
      <c r="P355" s="80">
        <v>86.09</v>
      </c>
    </row>
    <row r="356" spans="1:16" x14ac:dyDescent="0.3">
      <c r="A356" s="72" t="s">
        <v>324</v>
      </c>
      <c r="B356" s="72" t="s">
        <v>700</v>
      </c>
      <c r="C356" s="74">
        <v>2017</v>
      </c>
      <c r="D356" s="81">
        <v>104.35</v>
      </c>
      <c r="E356" s="72" t="s">
        <v>1958</v>
      </c>
      <c r="F356" s="76" t="s">
        <v>1959</v>
      </c>
      <c r="G356" s="72" t="s">
        <v>2167</v>
      </c>
      <c r="H356" s="72" t="s">
        <v>1905</v>
      </c>
      <c r="I356" s="72" t="s">
        <v>2172</v>
      </c>
      <c r="J356" s="89">
        <v>29.93</v>
      </c>
      <c r="K356" s="72" t="s">
        <v>2173</v>
      </c>
      <c r="L356" s="81">
        <v>1.77</v>
      </c>
      <c r="M356" s="78" t="s">
        <v>1824</v>
      </c>
      <c r="N356" s="78" t="s">
        <v>1825</v>
      </c>
      <c r="O356" s="78"/>
      <c r="P356" s="80">
        <v>104.35</v>
      </c>
    </row>
    <row r="357" spans="1:16" x14ac:dyDescent="0.3">
      <c r="A357" s="72" t="s">
        <v>62</v>
      </c>
      <c r="B357" s="72" t="s">
        <v>701</v>
      </c>
      <c r="C357" s="74">
        <v>2017</v>
      </c>
      <c r="D357" s="81">
        <v>130.53</v>
      </c>
      <c r="E357" s="72" t="s">
        <v>1958</v>
      </c>
      <c r="F357" s="76" t="s">
        <v>1959</v>
      </c>
      <c r="G357" s="72" t="s">
        <v>2167</v>
      </c>
      <c r="H357" s="72" t="s">
        <v>1905</v>
      </c>
      <c r="I357" s="72" t="s">
        <v>2174</v>
      </c>
      <c r="J357" s="89">
        <v>30.38</v>
      </c>
      <c r="K357" s="72" t="s">
        <v>2175</v>
      </c>
      <c r="L357" s="81">
        <v>2.42</v>
      </c>
      <c r="M357" s="78" t="s">
        <v>1824</v>
      </c>
      <c r="N357" s="78" t="s">
        <v>1825</v>
      </c>
      <c r="O357" s="78"/>
      <c r="P357" s="80">
        <v>130.53</v>
      </c>
    </row>
    <row r="358" spans="1:16" x14ac:dyDescent="0.3">
      <c r="A358" s="72" t="s">
        <v>128</v>
      </c>
      <c r="B358" s="72" t="s">
        <v>702</v>
      </c>
      <c r="C358" s="74">
        <v>2017</v>
      </c>
      <c r="D358" s="81">
        <v>118.71</v>
      </c>
      <c r="E358" s="72" t="s">
        <v>1958</v>
      </c>
      <c r="F358" s="76" t="s">
        <v>1959</v>
      </c>
      <c r="G358" s="72" t="s">
        <v>2176</v>
      </c>
      <c r="H358" s="72" t="s">
        <v>1905</v>
      </c>
      <c r="I358" s="72" t="s">
        <v>2177</v>
      </c>
      <c r="J358" s="89">
        <v>30.36</v>
      </c>
      <c r="K358" s="72" t="s">
        <v>2178</v>
      </c>
      <c r="L358" s="81">
        <v>1.77</v>
      </c>
      <c r="M358" s="78" t="s">
        <v>1824</v>
      </c>
      <c r="N358" s="78" t="s">
        <v>1825</v>
      </c>
      <c r="O358" s="78"/>
      <c r="P358" s="80">
        <v>118.71</v>
      </c>
    </row>
    <row r="359" spans="1:16" x14ac:dyDescent="0.3">
      <c r="A359" s="72" t="s">
        <v>342</v>
      </c>
      <c r="B359" s="72" t="s">
        <v>703</v>
      </c>
      <c r="C359" s="74">
        <v>2017</v>
      </c>
      <c r="D359" s="81">
        <v>144.9</v>
      </c>
      <c r="E359" s="72" t="s">
        <v>1958</v>
      </c>
      <c r="F359" s="76" t="s">
        <v>1959</v>
      </c>
      <c r="G359" s="72" t="s">
        <v>2176</v>
      </c>
      <c r="H359" s="72" t="s">
        <v>1905</v>
      </c>
      <c r="I359" s="72" t="s">
        <v>2179</v>
      </c>
      <c r="J359" s="89">
        <v>30.82</v>
      </c>
      <c r="K359" s="72" t="s">
        <v>2180</v>
      </c>
      <c r="L359" s="81">
        <v>2.42</v>
      </c>
      <c r="M359" s="78" t="s">
        <v>1824</v>
      </c>
      <c r="N359" s="78" t="s">
        <v>1825</v>
      </c>
      <c r="O359" s="78"/>
      <c r="P359" s="80">
        <v>144.9</v>
      </c>
    </row>
    <row r="360" spans="1:16" x14ac:dyDescent="0.3">
      <c r="A360" s="72" t="s">
        <v>95</v>
      </c>
      <c r="B360" s="72" t="s">
        <v>704</v>
      </c>
      <c r="C360" s="74">
        <v>2017</v>
      </c>
      <c r="D360" s="81">
        <v>162.91999999999999</v>
      </c>
      <c r="E360" s="72" t="s">
        <v>1958</v>
      </c>
      <c r="F360" s="76" t="s">
        <v>1959</v>
      </c>
      <c r="G360" s="72" t="s">
        <v>2176</v>
      </c>
      <c r="H360" s="72" t="s">
        <v>1905</v>
      </c>
      <c r="I360" s="72" t="s">
        <v>2181</v>
      </c>
      <c r="J360" s="89">
        <v>29.88</v>
      </c>
      <c r="K360" s="72" t="s">
        <v>2182</v>
      </c>
      <c r="L360" s="81">
        <v>2.35</v>
      </c>
      <c r="M360" s="78" t="s">
        <v>1824</v>
      </c>
      <c r="N360" s="78" t="s">
        <v>1825</v>
      </c>
      <c r="O360" s="78"/>
      <c r="P360" s="80">
        <v>162.91999999999999</v>
      </c>
    </row>
    <row r="361" spans="1:16" x14ac:dyDescent="0.3">
      <c r="A361" s="72" t="s">
        <v>270</v>
      </c>
      <c r="B361" s="72" t="s">
        <v>705</v>
      </c>
      <c r="C361" s="74">
        <v>2017</v>
      </c>
      <c r="D361" s="81">
        <v>190.45</v>
      </c>
      <c r="E361" s="72" t="s">
        <v>1958</v>
      </c>
      <c r="F361" s="76" t="s">
        <v>1959</v>
      </c>
      <c r="G361" s="72" t="s">
        <v>2176</v>
      </c>
      <c r="H361" s="72" t="s">
        <v>1905</v>
      </c>
      <c r="I361" s="72" t="s">
        <v>2183</v>
      </c>
      <c r="J361" s="89">
        <v>30.81</v>
      </c>
      <c r="K361" s="72" t="s">
        <v>2184</v>
      </c>
      <c r="L361" s="81">
        <v>3.68</v>
      </c>
      <c r="M361" s="78" t="s">
        <v>1824</v>
      </c>
      <c r="N361" s="78" t="s">
        <v>1825</v>
      </c>
      <c r="O361" s="78"/>
      <c r="P361" s="80">
        <v>190.45</v>
      </c>
    </row>
    <row r="362" spans="1:16" x14ac:dyDescent="0.3">
      <c r="A362" s="72" t="s">
        <v>327</v>
      </c>
      <c r="B362" s="72" t="s">
        <v>706</v>
      </c>
      <c r="C362" s="74">
        <v>2017</v>
      </c>
      <c r="D362" s="81">
        <v>163.22999999999999</v>
      </c>
      <c r="E362" s="72" t="s">
        <v>1958</v>
      </c>
      <c r="F362" s="76" t="s">
        <v>1959</v>
      </c>
      <c r="G362" s="72" t="s">
        <v>2176</v>
      </c>
      <c r="H362" s="72" t="s">
        <v>1905</v>
      </c>
      <c r="I362" s="72" t="s">
        <v>2185</v>
      </c>
      <c r="J362" s="89">
        <v>29.8</v>
      </c>
      <c r="K362" s="72" t="s">
        <v>2186</v>
      </c>
      <c r="L362" s="81">
        <v>2.35</v>
      </c>
      <c r="M362" s="78" t="s">
        <v>1824</v>
      </c>
      <c r="N362" s="78" t="s">
        <v>1825</v>
      </c>
      <c r="O362" s="78"/>
      <c r="P362" s="80">
        <v>163.22999999999999</v>
      </c>
    </row>
    <row r="363" spans="1:16" x14ac:dyDescent="0.3">
      <c r="A363" s="72" t="s">
        <v>284</v>
      </c>
      <c r="B363" s="72" t="s">
        <v>707</v>
      </c>
      <c r="C363" s="74">
        <v>2017</v>
      </c>
      <c r="D363" s="81">
        <v>190.77</v>
      </c>
      <c r="E363" s="72" t="s">
        <v>1958</v>
      </c>
      <c r="F363" s="76" t="s">
        <v>1959</v>
      </c>
      <c r="G363" s="72" t="s">
        <v>2176</v>
      </c>
      <c r="H363" s="72" t="s">
        <v>1905</v>
      </c>
      <c r="I363" s="72" t="s">
        <v>2187</v>
      </c>
      <c r="J363" s="89">
        <v>31.49</v>
      </c>
      <c r="K363" s="72" t="s">
        <v>2188</v>
      </c>
      <c r="L363" s="81">
        <v>3.68</v>
      </c>
      <c r="M363" s="78" t="s">
        <v>1824</v>
      </c>
      <c r="N363" s="78" t="s">
        <v>1825</v>
      </c>
      <c r="O363" s="78"/>
      <c r="P363" s="80">
        <v>190.77</v>
      </c>
    </row>
    <row r="364" spans="1:16" x14ac:dyDescent="0.3">
      <c r="A364" s="72" t="s">
        <v>247</v>
      </c>
      <c r="B364" s="72" t="s">
        <v>708</v>
      </c>
      <c r="C364" s="74">
        <v>2017</v>
      </c>
      <c r="D364" s="81">
        <v>191.76</v>
      </c>
      <c r="E364" s="72" t="s">
        <v>1958</v>
      </c>
      <c r="F364" s="76" t="s">
        <v>1959</v>
      </c>
      <c r="G364" s="72" t="s">
        <v>2176</v>
      </c>
      <c r="H364" s="72" t="s">
        <v>1905</v>
      </c>
      <c r="I364" s="72" t="s">
        <v>2189</v>
      </c>
      <c r="J364" s="89">
        <v>30.77</v>
      </c>
      <c r="K364" s="72" t="s">
        <v>2190</v>
      </c>
      <c r="L364" s="81">
        <v>2.35</v>
      </c>
      <c r="M364" s="78" t="s">
        <v>1824</v>
      </c>
      <c r="N364" s="78" t="s">
        <v>1825</v>
      </c>
      <c r="O364" s="78"/>
      <c r="P364" s="80">
        <v>191.76</v>
      </c>
    </row>
    <row r="365" spans="1:16" x14ac:dyDescent="0.3">
      <c r="A365" s="72" t="s">
        <v>164</v>
      </c>
      <c r="B365" s="72" t="s">
        <v>709</v>
      </c>
      <c r="C365" s="74">
        <v>2017</v>
      </c>
      <c r="D365" s="81">
        <v>227.26</v>
      </c>
      <c r="E365" s="72" t="s">
        <v>1958</v>
      </c>
      <c r="F365" s="76" t="s">
        <v>1959</v>
      </c>
      <c r="G365" s="72" t="s">
        <v>2176</v>
      </c>
      <c r="H365" s="72" t="s">
        <v>1905</v>
      </c>
      <c r="I365" s="72" t="s">
        <v>2191</v>
      </c>
      <c r="J365" s="89">
        <v>32.46</v>
      </c>
      <c r="K365" s="72" t="s">
        <v>2192</v>
      </c>
      <c r="L365" s="81">
        <v>3.68</v>
      </c>
      <c r="M365" s="78" t="s">
        <v>1824</v>
      </c>
      <c r="N365" s="78" t="s">
        <v>1825</v>
      </c>
      <c r="O365" s="78"/>
      <c r="P365" s="80">
        <v>227.26</v>
      </c>
    </row>
    <row r="366" spans="1:16" x14ac:dyDescent="0.3">
      <c r="A366" s="72" t="s">
        <v>98</v>
      </c>
      <c r="B366" s="72" t="s">
        <v>712</v>
      </c>
      <c r="C366" s="74">
        <v>2017</v>
      </c>
      <c r="D366" s="81">
        <v>223.77</v>
      </c>
      <c r="E366" s="72" t="s">
        <v>1958</v>
      </c>
      <c r="F366" s="76" t="s">
        <v>1959</v>
      </c>
      <c r="G366" s="72" t="s">
        <v>2176</v>
      </c>
      <c r="H366" s="72" t="s">
        <v>1905</v>
      </c>
      <c r="I366" s="72" t="s">
        <v>2193</v>
      </c>
      <c r="J366" s="89">
        <v>31.7</v>
      </c>
      <c r="K366" s="72" t="s">
        <v>2194</v>
      </c>
      <c r="L366" s="81">
        <v>2.83</v>
      </c>
      <c r="M366" s="78" t="s">
        <v>1824</v>
      </c>
      <c r="N366" s="78" t="s">
        <v>1825</v>
      </c>
      <c r="O366" s="78"/>
      <c r="P366" s="80">
        <v>223.77</v>
      </c>
    </row>
    <row r="367" spans="1:16" x14ac:dyDescent="0.3">
      <c r="A367" s="72" t="s">
        <v>371</v>
      </c>
      <c r="B367" s="72" t="s">
        <v>713</v>
      </c>
      <c r="C367" s="74">
        <v>2017</v>
      </c>
      <c r="D367" s="81">
        <v>259.26</v>
      </c>
      <c r="E367" s="72" t="s">
        <v>1958</v>
      </c>
      <c r="F367" s="76" t="s">
        <v>1959</v>
      </c>
      <c r="G367" s="72" t="s">
        <v>2176</v>
      </c>
      <c r="H367" s="72" t="s">
        <v>1905</v>
      </c>
      <c r="I367" s="72" t="s">
        <v>2195</v>
      </c>
      <c r="J367" s="89">
        <v>33.39</v>
      </c>
      <c r="K367" s="72" t="s">
        <v>2196</v>
      </c>
      <c r="L367" s="81">
        <v>4.75</v>
      </c>
      <c r="M367" s="78" t="s">
        <v>1824</v>
      </c>
      <c r="N367" s="78" t="s">
        <v>1825</v>
      </c>
      <c r="O367" s="78"/>
      <c r="P367" s="80">
        <v>259.26</v>
      </c>
    </row>
    <row r="368" spans="1:16" x14ac:dyDescent="0.3">
      <c r="A368" s="72" t="s">
        <v>572</v>
      </c>
      <c r="B368" s="72" t="s">
        <v>2197</v>
      </c>
      <c r="C368" s="74">
        <v>2017</v>
      </c>
      <c r="D368" s="81">
        <v>158.81</v>
      </c>
      <c r="E368" s="72" t="s">
        <v>1958</v>
      </c>
      <c r="F368" s="76" t="s">
        <v>1959</v>
      </c>
      <c r="G368" s="72" t="s">
        <v>2176</v>
      </c>
      <c r="H368" s="72" t="s">
        <v>1905</v>
      </c>
      <c r="I368" s="72" t="s">
        <v>2198</v>
      </c>
      <c r="J368" s="89">
        <v>29</v>
      </c>
      <c r="K368" s="72" t="s">
        <v>2199</v>
      </c>
      <c r="L368" s="81">
        <v>2.91</v>
      </c>
      <c r="M368" s="78" t="s">
        <v>1824</v>
      </c>
      <c r="N368" s="78" t="s">
        <v>1825</v>
      </c>
      <c r="O368" s="78"/>
      <c r="P368" s="80">
        <v>158.81</v>
      </c>
    </row>
    <row r="369" spans="1:16" x14ac:dyDescent="0.3">
      <c r="A369" s="72" t="s">
        <v>570</v>
      </c>
      <c r="B369" s="72" t="s">
        <v>2200</v>
      </c>
      <c r="C369" s="74">
        <v>2017</v>
      </c>
      <c r="D369" s="81">
        <v>226.19</v>
      </c>
      <c r="E369" s="72" t="s">
        <v>1958</v>
      </c>
      <c r="F369" s="76" t="s">
        <v>1959</v>
      </c>
      <c r="G369" s="72" t="s">
        <v>2176</v>
      </c>
      <c r="H369" s="72" t="s">
        <v>1905</v>
      </c>
      <c r="I369" s="72" t="s">
        <v>2201</v>
      </c>
      <c r="J369" s="89">
        <v>39.46</v>
      </c>
      <c r="K369" s="72" t="s">
        <v>2202</v>
      </c>
      <c r="L369" s="81">
        <v>5.04</v>
      </c>
      <c r="M369" s="78" t="s">
        <v>1824</v>
      </c>
      <c r="N369" s="78" t="s">
        <v>1825</v>
      </c>
      <c r="O369" s="78"/>
      <c r="P369" s="80">
        <v>226.19</v>
      </c>
    </row>
    <row r="370" spans="1:16" x14ac:dyDescent="0.3">
      <c r="A370" s="92" t="s">
        <v>2553</v>
      </c>
      <c r="B370" s="92" t="s">
        <v>2554</v>
      </c>
      <c r="C370" s="74">
        <v>2017</v>
      </c>
      <c r="D370" s="81">
        <v>254.89</v>
      </c>
      <c r="E370" s="72" t="s">
        <v>1958</v>
      </c>
      <c r="F370" s="76" t="s">
        <v>1959</v>
      </c>
      <c r="G370" s="72"/>
      <c r="H370" s="72" t="s">
        <v>1905</v>
      </c>
      <c r="I370" s="72" t="s">
        <v>2555</v>
      </c>
      <c r="J370" s="81">
        <v>41.82</v>
      </c>
      <c r="K370" s="72" t="s">
        <v>2556</v>
      </c>
      <c r="L370" s="81">
        <v>4.87</v>
      </c>
      <c r="M370" s="78" t="s">
        <v>1824</v>
      </c>
      <c r="N370" s="78" t="s">
        <v>1825</v>
      </c>
      <c r="O370" s="93" t="s">
        <v>1826</v>
      </c>
      <c r="P370" s="80">
        <v>254.89</v>
      </c>
    </row>
    <row r="371" spans="1:16" x14ac:dyDescent="0.3">
      <c r="A371" s="92" t="s">
        <v>2557</v>
      </c>
      <c r="B371" s="92" t="s">
        <v>2558</v>
      </c>
      <c r="C371" s="74">
        <v>2017</v>
      </c>
      <c r="D371" s="81">
        <v>246.48</v>
      </c>
      <c r="E371" s="72" t="s">
        <v>1958</v>
      </c>
      <c r="F371" s="76" t="s">
        <v>1959</v>
      </c>
      <c r="G371" s="72"/>
      <c r="H371" s="72" t="s">
        <v>1905</v>
      </c>
      <c r="I371" s="72" t="s">
        <v>2559</v>
      </c>
      <c r="J371" s="81">
        <v>41.82</v>
      </c>
      <c r="K371" s="72" t="s">
        <v>2560</v>
      </c>
      <c r="L371" s="81">
        <v>4.87</v>
      </c>
      <c r="M371" s="78" t="s">
        <v>1824</v>
      </c>
      <c r="N371" s="78" t="s">
        <v>1825</v>
      </c>
      <c r="O371" s="93" t="s">
        <v>1826</v>
      </c>
      <c r="P371" s="80">
        <v>246.48</v>
      </c>
    </row>
    <row r="372" spans="1:16" x14ac:dyDescent="0.3">
      <c r="A372" s="92" t="s">
        <v>2561</v>
      </c>
      <c r="B372" s="92" t="s">
        <v>2562</v>
      </c>
      <c r="C372" s="74">
        <v>2017</v>
      </c>
      <c r="D372" s="81">
        <v>359.02</v>
      </c>
      <c r="E372" s="72" t="s">
        <v>1958</v>
      </c>
      <c r="F372" s="76" t="s">
        <v>1959</v>
      </c>
      <c r="G372" s="72"/>
      <c r="H372" s="72" t="s">
        <v>1905</v>
      </c>
      <c r="I372" s="72" t="s">
        <v>2563</v>
      </c>
      <c r="J372" s="81">
        <v>43.14</v>
      </c>
      <c r="K372" s="72" t="s">
        <v>2564</v>
      </c>
      <c r="L372" s="81">
        <v>7.03</v>
      </c>
      <c r="M372" s="78" t="s">
        <v>1824</v>
      </c>
      <c r="N372" s="78" t="s">
        <v>1825</v>
      </c>
      <c r="O372" s="93" t="s">
        <v>1826</v>
      </c>
      <c r="P372" s="80">
        <v>359.02</v>
      </c>
    </row>
    <row r="373" spans="1:16" x14ac:dyDescent="0.3">
      <c r="A373" s="92" t="s">
        <v>2565</v>
      </c>
      <c r="B373" s="92" t="s">
        <v>2566</v>
      </c>
      <c r="C373" s="74">
        <v>2017</v>
      </c>
      <c r="D373" s="81">
        <v>236.55</v>
      </c>
      <c r="E373" s="72" t="s">
        <v>1958</v>
      </c>
      <c r="F373" s="76" t="s">
        <v>1959</v>
      </c>
      <c r="G373" s="72"/>
      <c r="H373" s="72" t="s">
        <v>1905</v>
      </c>
      <c r="I373" s="72" t="s">
        <v>2567</v>
      </c>
      <c r="J373" s="81">
        <v>39.06</v>
      </c>
      <c r="K373" s="72" t="s">
        <v>2568</v>
      </c>
      <c r="L373" s="81">
        <v>2.88</v>
      </c>
      <c r="M373" s="78" t="s">
        <v>1824</v>
      </c>
      <c r="N373" s="78" t="s">
        <v>1825</v>
      </c>
      <c r="O373" s="93" t="s">
        <v>1826</v>
      </c>
      <c r="P373" s="80">
        <v>236.55</v>
      </c>
    </row>
    <row r="374" spans="1:16" x14ac:dyDescent="0.3">
      <c r="A374" s="72" t="s">
        <v>384</v>
      </c>
      <c r="B374" s="72" t="s">
        <v>720</v>
      </c>
      <c r="C374" s="74">
        <v>2017</v>
      </c>
      <c r="D374" s="81">
        <v>244.84</v>
      </c>
      <c r="E374" s="72" t="s">
        <v>1958</v>
      </c>
      <c r="F374" s="76" t="s">
        <v>1959</v>
      </c>
      <c r="G374" s="72" t="s">
        <v>2176</v>
      </c>
      <c r="H374" s="72" t="s">
        <v>1905</v>
      </c>
      <c r="I374" s="72" t="s">
        <v>2203</v>
      </c>
      <c r="J374" s="89">
        <v>31.7</v>
      </c>
      <c r="K374" s="72" t="s">
        <v>2204</v>
      </c>
      <c r="L374" s="81">
        <v>2.35</v>
      </c>
      <c r="M374" s="78" t="s">
        <v>1824</v>
      </c>
      <c r="N374" s="78" t="s">
        <v>1825</v>
      </c>
      <c r="O374" s="78"/>
      <c r="P374" s="80">
        <v>244.84</v>
      </c>
    </row>
    <row r="375" spans="1:16" x14ac:dyDescent="0.3">
      <c r="A375" s="72" t="s">
        <v>130</v>
      </c>
      <c r="B375" s="72" t="s">
        <v>721</v>
      </c>
      <c r="C375" s="74">
        <v>2017</v>
      </c>
      <c r="D375" s="81">
        <v>280.37</v>
      </c>
      <c r="E375" s="72" t="s">
        <v>1958</v>
      </c>
      <c r="F375" s="76" t="s">
        <v>1959</v>
      </c>
      <c r="G375" s="72" t="s">
        <v>2176</v>
      </c>
      <c r="H375" s="72" t="s">
        <v>1905</v>
      </c>
      <c r="I375" s="72" t="s">
        <v>2205</v>
      </c>
      <c r="J375" s="89">
        <v>33.39</v>
      </c>
      <c r="K375" s="72" t="s">
        <v>2206</v>
      </c>
      <c r="L375" s="81">
        <v>3.68</v>
      </c>
      <c r="M375" s="78" t="s">
        <v>1824</v>
      </c>
      <c r="N375" s="78" t="s">
        <v>1825</v>
      </c>
      <c r="O375" s="78"/>
      <c r="P375" s="80">
        <v>280.37</v>
      </c>
    </row>
    <row r="376" spans="1:16" x14ac:dyDescent="0.3">
      <c r="A376" s="72" t="s">
        <v>2207</v>
      </c>
      <c r="B376" s="72" t="s">
        <v>2208</v>
      </c>
      <c r="C376" s="74">
        <v>2017</v>
      </c>
      <c r="D376" s="81">
        <v>228.29</v>
      </c>
      <c r="E376" s="72" t="s">
        <v>1958</v>
      </c>
      <c r="F376" s="76" t="s">
        <v>1959</v>
      </c>
      <c r="G376" s="72" t="s">
        <v>2209</v>
      </c>
      <c r="H376" s="72" t="s">
        <v>1905</v>
      </c>
      <c r="I376" s="72" t="s">
        <v>2210</v>
      </c>
      <c r="J376" s="89">
        <v>32.46</v>
      </c>
      <c r="K376" s="72" t="s">
        <v>2211</v>
      </c>
      <c r="L376" s="81">
        <v>3.68</v>
      </c>
      <c r="M376" s="78" t="s">
        <v>1824</v>
      </c>
      <c r="N376" s="78" t="s">
        <v>1825</v>
      </c>
      <c r="O376" s="78"/>
      <c r="P376" s="80">
        <v>228.29</v>
      </c>
    </row>
    <row r="377" spans="1:16" x14ac:dyDescent="0.3">
      <c r="A377" s="72" t="s">
        <v>375</v>
      </c>
      <c r="B377" s="72" t="s">
        <v>2212</v>
      </c>
      <c r="C377" s="74">
        <v>2017</v>
      </c>
      <c r="D377" s="81">
        <v>78.510000000000005</v>
      </c>
      <c r="E377" s="72" t="s">
        <v>1958</v>
      </c>
      <c r="F377" s="76" t="s">
        <v>1959</v>
      </c>
      <c r="G377" s="72" t="s">
        <v>2176</v>
      </c>
      <c r="H377" s="72" t="s">
        <v>1905</v>
      </c>
      <c r="I377" s="72" t="s">
        <v>2213</v>
      </c>
      <c r="J377" s="89">
        <v>18.079999999999998</v>
      </c>
      <c r="K377" s="72" t="s">
        <v>2214</v>
      </c>
      <c r="L377" s="89">
        <v>2.11</v>
      </c>
      <c r="M377" s="78" t="s">
        <v>1824</v>
      </c>
      <c r="N377" s="78" t="s">
        <v>1825</v>
      </c>
      <c r="O377" s="78"/>
      <c r="P377" s="80">
        <v>78.510000000000005</v>
      </c>
    </row>
    <row r="378" spans="1:16" x14ac:dyDescent="0.3">
      <c r="A378" s="72" t="s">
        <v>295</v>
      </c>
      <c r="B378" s="72" t="s">
        <v>2215</v>
      </c>
      <c r="C378" s="74">
        <v>2017</v>
      </c>
      <c r="D378" s="81">
        <v>102.61</v>
      </c>
      <c r="E378" s="72" t="s">
        <v>1958</v>
      </c>
      <c r="F378" s="76" t="s">
        <v>1959</v>
      </c>
      <c r="G378" s="72" t="s">
        <v>2176</v>
      </c>
      <c r="H378" s="72" t="s">
        <v>1905</v>
      </c>
      <c r="I378" s="72" t="s">
        <v>2216</v>
      </c>
      <c r="J378" s="89">
        <v>28.15</v>
      </c>
      <c r="K378" s="72" t="s">
        <v>2217</v>
      </c>
      <c r="L378" s="89">
        <v>2.7</v>
      </c>
      <c r="M378" s="78" t="s">
        <v>1824</v>
      </c>
      <c r="N378" s="78" t="s">
        <v>1825</v>
      </c>
      <c r="O378" s="78"/>
      <c r="P378" s="80">
        <v>102.61</v>
      </c>
    </row>
    <row r="379" spans="1:16" x14ac:dyDescent="0.3">
      <c r="A379" s="72" t="s">
        <v>315</v>
      </c>
      <c r="B379" s="72" t="s">
        <v>2218</v>
      </c>
      <c r="C379" s="74">
        <v>2017</v>
      </c>
      <c r="D379" s="81">
        <v>115.78</v>
      </c>
      <c r="E379" s="72" t="s">
        <v>1958</v>
      </c>
      <c r="F379" s="76" t="s">
        <v>1959</v>
      </c>
      <c r="G379" s="72" t="s">
        <v>2176</v>
      </c>
      <c r="H379" s="72" t="s">
        <v>1905</v>
      </c>
      <c r="I379" s="72" t="s">
        <v>2219</v>
      </c>
      <c r="J379" s="89">
        <v>18.079999999999998</v>
      </c>
      <c r="K379" s="72" t="s">
        <v>2220</v>
      </c>
      <c r="L379" s="89">
        <v>2.11</v>
      </c>
      <c r="M379" s="78" t="s">
        <v>1824</v>
      </c>
      <c r="N379" s="78" t="s">
        <v>1825</v>
      </c>
      <c r="O379" s="78"/>
      <c r="P379" s="80">
        <v>115.78</v>
      </c>
    </row>
    <row r="380" spans="1:16" x14ac:dyDescent="0.3">
      <c r="A380" s="72" t="s">
        <v>70</v>
      </c>
      <c r="B380" s="72" t="s">
        <v>2221</v>
      </c>
      <c r="C380" s="74">
        <v>2017</v>
      </c>
      <c r="D380" s="81">
        <v>137.76</v>
      </c>
      <c r="E380" s="72" t="s">
        <v>1958</v>
      </c>
      <c r="F380" s="76" t="s">
        <v>1959</v>
      </c>
      <c r="G380" s="72" t="s">
        <v>2176</v>
      </c>
      <c r="H380" s="72" t="s">
        <v>1905</v>
      </c>
      <c r="I380" s="72" t="s">
        <v>2222</v>
      </c>
      <c r="J380" s="89">
        <v>28.15</v>
      </c>
      <c r="K380" s="72" t="s">
        <v>2223</v>
      </c>
      <c r="L380" s="89">
        <v>2.7</v>
      </c>
      <c r="M380" s="78" t="s">
        <v>1824</v>
      </c>
      <c r="N380" s="78" t="s">
        <v>1825</v>
      </c>
      <c r="O380" s="78"/>
      <c r="P380" s="80">
        <v>137.76</v>
      </c>
    </row>
    <row r="381" spans="1:16" x14ac:dyDescent="0.3">
      <c r="A381" s="72" t="s">
        <v>213</v>
      </c>
      <c r="B381" s="72" t="s">
        <v>2224</v>
      </c>
      <c r="C381" s="74">
        <v>2017</v>
      </c>
      <c r="D381" s="81">
        <v>126.06</v>
      </c>
      <c r="E381" s="72" t="s">
        <v>1958</v>
      </c>
      <c r="F381" s="76" t="s">
        <v>1959</v>
      </c>
      <c r="G381" s="72" t="s">
        <v>2176</v>
      </c>
      <c r="H381" s="72" t="s">
        <v>1905</v>
      </c>
      <c r="I381" s="72" t="s">
        <v>2225</v>
      </c>
      <c r="J381" s="89">
        <v>24.05</v>
      </c>
      <c r="K381" s="72" t="s">
        <v>2226</v>
      </c>
      <c r="L381" s="89">
        <v>5.17</v>
      </c>
      <c r="M381" s="78" t="s">
        <v>1824</v>
      </c>
      <c r="N381" s="78" t="s">
        <v>1825</v>
      </c>
      <c r="O381" s="78"/>
      <c r="P381" s="80">
        <v>126.06</v>
      </c>
    </row>
    <row r="382" spans="1:16" x14ac:dyDescent="0.3">
      <c r="A382" s="72" t="s">
        <v>322</v>
      </c>
      <c r="B382" s="72" t="s">
        <v>2227</v>
      </c>
      <c r="C382" s="74">
        <v>2017</v>
      </c>
      <c r="D382" s="81">
        <v>150.76</v>
      </c>
      <c r="E382" s="72" t="s">
        <v>1958</v>
      </c>
      <c r="F382" s="76" t="s">
        <v>1959</v>
      </c>
      <c r="G382" s="72" t="s">
        <v>2176</v>
      </c>
      <c r="H382" s="72" t="s">
        <v>1905</v>
      </c>
      <c r="I382" s="72" t="s">
        <v>2228</v>
      </c>
      <c r="J382" s="89">
        <v>34.119999999999997</v>
      </c>
      <c r="K382" s="72" t="s">
        <v>2229</v>
      </c>
      <c r="L382" s="89">
        <v>5.64</v>
      </c>
      <c r="M382" s="78" t="s">
        <v>1824</v>
      </c>
      <c r="N382" s="78" t="s">
        <v>1825</v>
      </c>
      <c r="O382" s="78"/>
      <c r="P382" s="80">
        <v>150.76</v>
      </c>
    </row>
    <row r="383" spans="1:16" x14ac:dyDescent="0.3">
      <c r="A383" s="72" t="s">
        <v>335</v>
      </c>
      <c r="B383" s="72" t="s">
        <v>2230</v>
      </c>
      <c r="C383" s="74">
        <v>2017</v>
      </c>
      <c r="D383" s="81">
        <v>145.34</v>
      </c>
      <c r="E383" s="72" t="s">
        <v>1958</v>
      </c>
      <c r="F383" s="76" t="s">
        <v>1959</v>
      </c>
      <c r="G383" s="72" t="s">
        <v>2176</v>
      </c>
      <c r="H383" s="72" t="s">
        <v>1905</v>
      </c>
      <c r="I383" s="72" t="s">
        <v>2231</v>
      </c>
      <c r="J383" s="89">
        <v>24.05</v>
      </c>
      <c r="K383" s="72" t="s">
        <v>2232</v>
      </c>
      <c r="L383" s="89">
        <v>5.17</v>
      </c>
      <c r="M383" s="78" t="s">
        <v>1824</v>
      </c>
      <c r="N383" s="78" t="s">
        <v>1825</v>
      </c>
      <c r="O383" s="78"/>
      <c r="P383" s="80">
        <v>145.34</v>
      </c>
    </row>
    <row r="384" spans="1:16" x14ac:dyDescent="0.3">
      <c r="A384" s="72" t="s">
        <v>320</v>
      </c>
      <c r="B384" s="72" t="s">
        <v>2233</v>
      </c>
      <c r="C384" s="74">
        <v>2017</v>
      </c>
      <c r="D384" s="81">
        <v>171.37</v>
      </c>
      <c r="E384" s="72" t="s">
        <v>1958</v>
      </c>
      <c r="F384" s="76" t="s">
        <v>1959</v>
      </c>
      <c r="G384" s="72" t="s">
        <v>2176</v>
      </c>
      <c r="H384" s="72" t="s">
        <v>1905</v>
      </c>
      <c r="I384" s="72" t="s">
        <v>2234</v>
      </c>
      <c r="J384" s="89">
        <v>34.119999999999997</v>
      </c>
      <c r="K384" s="72" t="s">
        <v>2235</v>
      </c>
      <c r="L384" s="89">
        <v>5.64</v>
      </c>
      <c r="M384" s="78" t="s">
        <v>1824</v>
      </c>
      <c r="N384" s="78" t="s">
        <v>1825</v>
      </c>
      <c r="O384" s="78"/>
      <c r="P384" s="80">
        <v>171.37</v>
      </c>
    </row>
    <row r="385" spans="1:16" x14ac:dyDescent="0.3">
      <c r="A385" s="72" t="s">
        <v>194</v>
      </c>
      <c r="B385" s="72" t="s">
        <v>2236</v>
      </c>
      <c r="C385" s="74">
        <v>2017</v>
      </c>
      <c r="D385" s="81">
        <v>157.12</v>
      </c>
      <c r="E385" s="72" t="s">
        <v>1958</v>
      </c>
      <c r="F385" s="76" t="s">
        <v>1959</v>
      </c>
      <c r="G385" s="72" t="s">
        <v>2176</v>
      </c>
      <c r="H385" s="72" t="s">
        <v>1905</v>
      </c>
      <c r="I385" s="72" t="s">
        <v>2237</v>
      </c>
      <c r="J385" s="89">
        <v>32.72</v>
      </c>
      <c r="K385" s="72" t="s">
        <v>2238</v>
      </c>
      <c r="L385" s="89">
        <v>5.17</v>
      </c>
      <c r="M385" s="78" t="s">
        <v>1824</v>
      </c>
      <c r="N385" s="78" t="s">
        <v>1825</v>
      </c>
      <c r="O385" s="78"/>
      <c r="P385" s="80">
        <v>157.12</v>
      </c>
    </row>
    <row r="386" spans="1:16" x14ac:dyDescent="0.3">
      <c r="A386" s="72" t="s">
        <v>346</v>
      </c>
      <c r="B386" s="72" t="s">
        <v>2239</v>
      </c>
      <c r="C386" s="74">
        <v>2017</v>
      </c>
      <c r="D386" s="81">
        <v>183.63</v>
      </c>
      <c r="E386" s="72" t="s">
        <v>1958</v>
      </c>
      <c r="F386" s="76" t="s">
        <v>1959</v>
      </c>
      <c r="G386" s="72" t="s">
        <v>2176</v>
      </c>
      <c r="H386" s="72" t="s">
        <v>1905</v>
      </c>
      <c r="I386" s="72" t="s">
        <v>2240</v>
      </c>
      <c r="J386" s="89">
        <v>43.89</v>
      </c>
      <c r="K386" s="72" t="s">
        <v>2241</v>
      </c>
      <c r="L386" s="89">
        <v>5.64</v>
      </c>
      <c r="M386" s="78" t="s">
        <v>1824</v>
      </c>
      <c r="N386" s="78" t="s">
        <v>1825</v>
      </c>
      <c r="O386" s="78"/>
      <c r="P386" s="80">
        <v>183.63</v>
      </c>
    </row>
    <row r="387" spans="1:16" x14ac:dyDescent="0.3">
      <c r="A387" s="72" t="s">
        <v>154</v>
      </c>
      <c r="B387" s="72" t="s">
        <v>2242</v>
      </c>
      <c r="C387" s="74">
        <v>2017</v>
      </c>
      <c r="D387" s="81">
        <v>213.28</v>
      </c>
      <c r="E387" s="72" t="s">
        <v>1958</v>
      </c>
      <c r="F387" s="76" t="s">
        <v>1959</v>
      </c>
      <c r="G387" s="72" t="s">
        <v>2176</v>
      </c>
      <c r="H387" s="72" t="s">
        <v>1905</v>
      </c>
      <c r="I387" s="72" t="s">
        <v>2243</v>
      </c>
      <c r="J387" s="89">
        <v>29.68</v>
      </c>
      <c r="K387" s="72" t="s">
        <v>2244</v>
      </c>
      <c r="L387" s="89">
        <v>5.17</v>
      </c>
      <c r="M387" s="78" t="s">
        <v>1824</v>
      </c>
      <c r="N387" s="78" t="s">
        <v>1825</v>
      </c>
      <c r="O387" s="78"/>
      <c r="P387" s="80">
        <v>213.28</v>
      </c>
    </row>
    <row r="388" spans="1:16" x14ac:dyDescent="0.3">
      <c r="A388" s="72" t="s">
        <v>243</v>
      </c>
      <c r="B388" s="72" t="s">
        <v>2245</v>
      </c>
      <c r="C388" s="74">
        <v>2017</v>
      </c>
      <c r="D388" s="81">
        <v>240.43</v>
      </c>
      <c r="E388" s="72" t="s">
        <v>1958</v>
      </c>
      <c r="F388" s="76" t="s">
        <v>1959</v>
      </c>
      <c r="G388" s="72" t="s">
        <v>2176</v>
      </c>
      <c r="H388" s="72" t="s">
        <v>1905</v>
      </c>
      <c r="I388" s="72" t="s">
        <v>2246</v>
      </c>
      <c r="J388" s="89">
        <v>38.92</v>
      </c>
      <c r="K388" s="72" t="s">
        <v>2247</v>
      </c>
      <c r="L388" s="89">
        <v>5.64</v>
      </c>
      <c r="M388" s="78" t="s">
        <v>1824</v>
      </c>
      <c r="N388" s="78" t="s">
        <v>1825</v>
      </c>
      <c r="O388" s="78"/>
      <c r="P388" s="80">
        <v>240.43</v>
      </c>
    </row>
    <row r="389" spans="1:16" x14ac:dyDescent="0.3">
      <c r="A389" s="72" t="s">
        <v>260</v>
      </c>
      <c r="B389" s="72" t="s">
        <v>2248</v>
      </c>
      <c r="C389" s="74">
        <v>2017</v>
      </c>
      <c r="D389" s="81">
        <v>284.49</v>
      </c>
      <c r="E389" s="72" t="s">
        <v>1958</v>
      </c>
      <c r="F389" s="76" t="s">
        <v>1959</v>
      </c>
      <c r="G389" s="72" t="s">
        <v>2176</v>
      </c>
      <c r="H389" s="72" t="s">
        <v>1905</v>
      </c>
      <c r="I389" s="72" t="s">
        <v>2249</v>
      </c>
      <c r="J389" s="89">
        <v>33.94</v>
      </c>
      <c r="K389" s="72" t="s">
        <v>2250</v>
      </c>
      <c r="L389" s="89">
        <v>5.17</v>
      </c>
      <c r="M389" s="78" t="s">
        <v>1824</v>
      </c>
      <c r="N389" s="78" t="s">
        <v>1825</v>
      </c>
      <c r="O389" s="78"/>
      <c r="P389" s="80">
        <v>284.49</v>
      </c>
    </row>
    <row r="390" spans="1:16" x14ac:dyDescent="0.3">
      <c r="A390" s="72" t="s">
        <v>151</v>
      </c>
      <c r="B390" s="72" t="s">
        <v>2251</v>
      </c>
      <c r="C390" s="74">
        <v>2017</v>
      </c>
      <c r="D390" s="81">
        <v>327.08999999999997</v>
      </c>
      <c r="E390" s="72" t="s">
        <v>1958</v>
      </c>
      <c r="F390" s="76" t="s">
        <v>1959</v>
      </c>
      <c r="G390" s="72" t="s">
        <v>2176</v>
      </c>
      <c r="H390" s="72" t="s">
        <v>1905</v>
      </c>
      <c r="I390" s="72" t="s">
        <v>2252</v>
      </c>
      <c r="J390" s="89">
        <v>48.92</v>
      </c>
      <c r="K390" s="72" t="s">
        <v>2253</v>
      </c>
      <c r="L390" s="89">
        <v>5.64</v>
      </c>
      <c r="M390" s="78" t="s">
        <v>1824</v>
      </c>
      <c r="N390" s="78" t="s">
        <v>1825</v>
      </c>
      <c r="O390" s="78"/>
      <c r="P390" s="80">
        <v>327.08999999999997</v>
      </c>
    </row>
    <row r="391" spans="1:16" x14ac:dyDescent="0.3">
      <c r="A391" s="72" t="s">
        <v>2254</v>
      </c>
      <c r="B391" s="72" t="s">
        <v>2255</v>
      </c>
      <c r="C391" s="74">
        <v>2017</v>
      </c>
      <c r="D391" s="81">
        <v>549.4</v>
      </c>
      <c r="E391" s="72" t="s">
        <v>1958</v>
      </c>
      <c r="F391" s="76" t="s">
        <v>1959</v>
      </c>
      <c r="G391" s="72" t="s">
        <v>2176</v>
      </c>
      <c r="H391" s="72" t="s">
        <v>1905</v>
      </c>
      <c r="I391" s="72" t="s">
        <v>2256</v>
      </c>
      <c r="J391" s="89">
        <v>58.32</v>
      </c>
      <c r="K391" s="72" t="s">
        <v>2257</v>
      </c>
      <c r="L391" s="89">
        <v>8.01</v>
      </c>
      <c r="M391" s="78" t="s">
        <v>1824</v>
      </c>
      <c r="N391" s="78" t="s">
        <v>1825</v>
      </c>
      <c r="O391" s="78"/>
      <c r="P391" s="80">
        <v>549.4</v>
      </c>
    </row>
    <row r="392" spans="1:16" x14ac:dyDescent="0.3">
      <c r="A392" s="72" t="s">
        <v>175</v>
      </c>
      <c r="B392" s="72" t="s">
        <v>736</v>
      </c>
      <c r="C392" s="74">
        <v>2017</v>
      </c>
      <c r="D392" s="81">
        <v>67.53</v>
      </c>
      <c r="E392" s="72" t="s">
        <v>1958</v>
      </c>
      <c r="F392" s="76" t="s">
        <v>1959</v>
      </c>
      <c r="G392" s="72" t="s">
        <v>2167</v>
      </c>
      <c r="H392" s="72" t="s">
        <v>1905</v>
      </c>
      <c r="I392" s="72" t="s">
        <v>2258</v>
      </c>
      <c r="J392" s="89">
        <v>24.32</v>
      </c>
      <c r="K392" s="72" t="s">
        <v>2259</v>
      </c>
      <c r="L392" s="89">
        <v>1.0900000000000001</v>
      </c>
      <c r="M392" s="78" t="s">
        <v>1824</v>
      </c>
      <c r="N392" s="78" t="s">
        <v>1825</v>
      </c>
      <c r="O392" s="78"/>
      <c r="P392" s="80">
        <v>67.53</v>
      </c>
    </row>
    <row r="393" spans="1:16" x14ac:dyDescent="0.3">
      <c r="A393" s="72" t="s">
        <v>277</v>
      </c>
      <c r="B393" s="72" t="s">
        <v>737</v>
      </c>
      <c r="C393" s="74">
        <v>2017</v>
      </c>
      <c r="D393" s="81">
        <v>103.59</v>
      </c>
      <c r="E393" s="72" t="s">
        <v>1958</v>
      </c>
      <c r="F393" s="76" t="s">
        <v>1959</v>
      </c>
      <c r="G393" s="72" t="s">
        <v>2167</v>
      </c>
      <c r="H393" s="72" t="s">
        <v>1905</v>
      </c>
      <c r="I393" s="72" t="s">
        <v>2260</v>
      </c>
      <c r="J393" s="89">
        <v>31.72</v>
      </c>
      <c r="K393" s="72" t="s">
        <v>2261</v>
      </c>
      <c r="L393" s="89">
        <v>2.0099999999999998</v>
      </c>
      <c r="M393" s="78" t="s">
        <v>1824</v>
      </c>
      <c r="N393" s="78" t="s">
        <v>1825</v>
      </c>
      <c r="O393" s="78"/>
      <c r="P393" s="80">
        <v>103.59</v>
      </c>
    </row>
    <row r="394" spans="1:16" x14ac:dyDescent="0.3">
      <c r="A394" s="72" t="s">
        <v>67</v>
      </c>
      <c r="B394" s="72" t="s">
        <v>740</v>
      </c>
      <c r="C394" s="74">
        <v>2017</v>
      </c>
      <c r="D394" s="81">
        <v>84.94</v>
      </c>
      <c r="E394" s="72" t="s">
        <v>1958</v>
      </c>
      <c r="F394" s="76" t="s">
        <v>1959</v>
      </c>
      <c r="G394" s="72" t="s">
        <v>2167</v>
      </c>
      <c r="H394" s="72" t="s">
        <v>1905</v>
      </c>
      <c r="I394" s="72" t="s">
        <v>2262</v>
      </c>
      <c r="J394" s="89">
        <v>24.32</v>
      </c>
      <c r="K394" s="72" t="s">
        <v>2263</v>
      </c>
      <c r="L394" s="89">
        <v>1.0900000000000001</v>
      </c>
      <c r="M394" s="78" t="s">
        <v>1824</v>
      </c>
      <c r="N394" s="78" t="s">
        <v>1825</v>
      </c>
      <c r="O394" s="78"/>
      <c r="P394" s="80">
        <v>84.94</v>
      </c>
    </row>
    <row r="395" spans="1:16" x14ac:dyDescent="0.3">
      <c r="A395" s="72" t="s">
        <v>149</v>
      </c>
      <c r="B395" s="72" t="s">
        <v>741</v>
      </c>
      <c r="C395" s="74">
        <v>2017</v>
      </c>
      <c r="D395" s="81">
        <v>121.01</v>
      </c>
      <c r="E395" s="72" t="s">
        <v>1958</v>
      </c>
      <c r="F395" s="76" t="s">
        <v>1959</v>
      </c>
      <c r="G395" s="72" t="s">
        <v>2167</v>
      </c>
      <c r="H395" s="72" t="s">
        <v>1905</v>
      </c>
      <c r="I395" s="72" t="s">
        <v>2264</v>
      </c>
      <c r="J395" s="89">
        <v>31.72</v>
      </c>
      <c r="K395" s="72" t="s">
        <v>2265</v>
      </c>
      <c r="L395" s="89">
        <v>2.0099999999999998</v>
      </c>
      <c r="M395" s="78" t="s">
        <v>1824</v>
      </c>
      <c r="N395" s="78" t="s">
        <v>1825</v>
      </c>
      <c r="O395" s="78"/>
      <c r="P395" s="80">
        <v>121.01</v>
      </c>
    </row>
    <row r="396" spans="1:16" x14ac:dyDescent="0.3">
      <c r="A396" s="72" t="s">
        <v>109</v>
      </c>
      <c r="B396" s="72" t="s">
        <v>756</v>
      </c>
      <c r="C396" s="74">
        <v>2017</v>
      </c>
      <c r="D396" s="81">
        <v>99.69</v>
      </c>
      <c r="E396" s="72" t="s">
        <v>1958</v>
      </c>
      <c r="F396" s="76" t="s">
        <v>1959</v>
      </c>
      <c r="G396" s="72" t="s">
        <v>2176</v>
      </c>
      <c r="H396" s="72" t="s">
        <v>1905</v>
      </c>
      <c r="I396" s="72" t="s">
        <v>2266</v>
      </c>
      <c r="J396" s="89">
        <v>24.32</v>
      </c>
      <c r="K396" s="72" t="s">
        <v>2267</v>
      </c>
      <c r="L396" s="89">
        <v>1.0900000000000001</v>
      </c>
      <c r="M396" s="78" t="s">
        <v>1824</v>
      </c>
      <c r="N396" s="78" t="s">
        <v>1825</v>
      </c>
      <c r="O396" s="78"/>
      <c r="P396" s="80">
        <v>99.69</v>
      </c>
    </row>
    <row r="397" spans="1:16" x14ac:dyDescent="0.3">
      <c r="A397" s="72" t="s">
        <v>75</v>
      </c>
      <c r="B397" s="72" t="s">
        <v>757</v>
      </c>
      <c r="C397" s="74">
        <v>2017</v>
      </c>
      <c r="D397" s="81">
        <v>135.75</v>
      </c>
      <c r="E397" s="72" t="s">
        <v>1958</v>
      </c>
      <c r="F397" s="76" t="s">
        <v>1959</v>
      </c>
      <c r="G397" s="72" t="s">
        <v>2176</v>
      </c>
      <c r="H397" s="72" t="s">
        <v>1905</v>
      </c>
      <c r="I397" s="72" t="s">
        <v>2268</v>
      </c>
      <c r="J397" s="89">
        <v>31.72</v>
      </c>
      <c r="K397" s="72" t="s">
        <v>2269</v>
      </c>
      <c r="L397" s="89">
        <v>2.0099999999999998</v>
      </c>
      <c r="M397" s="78" t="s">
        <v>1824</v>
      </c>
      <c r="N397" s="78" t="s">
        <v>1825</v>
      </c>
      <c r="O397" s="78"/>
      <c r="P397" s="80">
        <v>135.75</v>
      </c>
    </row>
    <row r="398" spans="1:16" x14ac:dyDescent="0.3">
      <c r="A398" s="72" t="s">
        <v>313</v>
      </c>
      <c r="B398" s="72" t="s">
        <v>758</v>
      </c>
      <c r="C398" s="74">
        <v>2017</v>
      </c>
      <c r="D398" s="81">
        <v>115.85</v>
      </c>
      <c r="E398" s="72" t="s">
        <v>1958</v>
      </c>
      <c r="F398" s="76" t="s">
        <v>1959</v>
      </c>
      <c r="G398" s="72" t="s">
        <v>2176</v>
      </c>
      <c r="H398" s="72" t="s">
        <v>1905</v>
      </c>
      <c r="I398" s="72" t="s">
        <v>2270</v>
      </c>
      <c r="J398" s="89">
        <v>24.32</v>
      </c>
      <c r="K398" s="72" t="s">
        <v>2271</v>
      </c>
      <c r="L398" s="89">
        <v>2.2599999999999998</v>
      </c>
      <c r="M398" s="78" t="s">
        <v>1824</v>
      </c>
      <c r="N398" s="78" t="s">
        <v>1825</v>
      </c>
      <c r="O398" s="78"/>
      <c r="P398" s="80">
        <v>115.85</v>
      </c>
    </row>
    <row r="399" spans="1:16" x14ac:dyDescent="0.3">
      <c r="A399" s="72" t="s">
        <v>115</v>
      </c>
      <c r="B399" s="72" t="s">
        <v>759</v>
      </c>
      <c r="C399" s="74">
        <v>2017</v>
      </c>
      <c r="D399" s="81">
        <v>151.91999999999999</v>
      </c>
      <c r="E399" s="72" t="s">
        <v>1958</v>
      </c>
      <c r="F399" s="76" t="s">
        <v>1959</v>
      </c>
      <c r="G399" s="72" t="s">
        <v>2176</v>
      </c>
      <c r="H399" s="72" t="s">
        <v>1905</v>
      </c>
      <c r="I399" s="72" t="s">
        <v>2272</v>
      </c>
      <c r="J399" s="89">
        <v>31.72</v>
      </c>
      <c r="K399" s="72" t="s">
        <v>2273</v>
      </c>
      <c r="L399" s="89">
        <v>3.18</v>
      </c>
      <c r="M399" s="78" t="s">
        <v>1824</v>
      </c>
      <c r="N399" s="78" t="s">
        <v>1825</v>
      </c>
      <c r="O399" s="78"/>
      <c r="P399" s="80">
        <v>151.91999999999999</v>
      </c>
    </row>
    <row r="400" spans="1:16" x14ac:dyDescent="0.3">
      <c r="A400" s="72" t="s">
        <v>192</v>
      </c>
      <c r="B400" s="72" t="s">
        <v>765</v>
      </c>
      <c r="C400" s="74">
        <v>2017</v>
      </c>
      <c r="D400" s="81">
        <v>113.22</v>
      </c>
      <c r="E400" s="72" t="s">
        <v>1958</v>
      </c>
      <c r="F400" s="76" t="s">
        <v>1959</v>
      </c>
      <c r="G400" s="72" t="s">
        <v>2176</v>
      </c>
      <c r="H400" s="72" t="s">
        <v>1905</v>
      </c>
      <c r="I400" s="72" t="s">
        <v>2274</v>
      </c>
      <c r="J400" s="89">
        <v>24.32</v>
      </c>
      <c r="K400" s="72" t="s">
        <v>2275</v>
      </c>
      <c r="L400" s="89">
        <v>1.0900000000000001</v>
      </c>
      <c r="M400" s="78" t="s">
        <v>1824</v>
      </c>
      <c r="N400" s="78" t="s">
        <v>1825</v>
      </c>
      <c r="O400" s="78"/>
      <c r="P400" s="80">
        <v>113.22</v>
      </c>
    </row>
    <row r="401" spans="1:16" x14ac:dyDescent="0.3">
      <c r="A401" s="72" t="s">
        <v>83</v>
      </c>
      <c r="B401" s="72" t="s">
        <v>766</v>
      </c>
      <c r="C401" s="74">
        <v>2017</v>
      </c>
      <c r="D401" s="81">
        <v>149.31</v>
      </c>
      <c r="E401" s="72" t="s">
        <v>1958</v>
      </c>
      <c r="F401" s="76" t="s">
        <v>1959</v>
      </c>
      <c r="G401" s="72" t="s">
        <v>2176</v>
      </c>
      <c r="H401" s="72" t="s">
        <v>1905</v>
      </c>
      <c r="I401" s="72" t="s">
        <v>2276</v>
      </c>
      <c r="J401" s="89">
        <v>31.72</v>
      </c>
      <c r="K401" s="72" t="s">
        <v>2277</v>
      </c>
      <c r="L401" s="89">
        <v>2.0099999999999998</v>
      </c>
      <c r="M401" s="78" t="s">
        <v>1824</v>
      </c>
      <c r="N401" s="78" t="s">
        <v>1825</v>
      </c>
      <c r="O401" s="78"/>
      <c r="P401" s="80">
        <v>149.31</v>
      </c>
    </row>
    <row r="402" spans="1:16" x14ac:dyDescent="0.3">
      <c r="A402" s="72" t="s">
        <v>185</v>
      </c>
      <c r="B402" s="72" t="s">
        <v>767</v>
      </c>
      <c r="C402" s="74">
        <v>2017</v>
      </c>
      <c r="D402" s="81">
        <v>131.11000000000001</v>
      </c>
      <c r="E402" s="72" t="s">
        <v>1958</v>
      </c>
      <c r="F402" s="76" t="s">
        <v>1959</v>
      </c>
      <c r="G402" s="72" t="s">
        <v>2176</v>
      </c>
      <c r="H402" s="72" t="s">
        <v>1905</v>
      </c>
      <c r="I402" s="72" t="s">
        <v>2278</v>
      </c>
      <c r="J402" s="89">
        <v>24.32</v>
      </c>
      <c r="K402" s="72" t="s">
        <v>2279</v>
      </c>
      <c r="L402" s="89">
        <v>2.2599999999999998</v>
      </c>
      <c r="M402" s="78" t="s">
        <v>1824</v>
      </c>
      <c r="N402" s="78" t="s">
        <v>1825</v>
      </c>
      <c r="O402" s="78"/>
      <c r="P402" s="80">
        <v>131.11000000000001</v>
      </c>
    </row>
    <row r="403" spans="1:16" x14ac:dyDescent="0.3">
      <c r="A403" s="72" t="s">
        <v>363</v>
      </c>
      <c r="B403" s="72" t="s">
        <v>768</v>
      </c>
      <c r="C403" s="74">
        <v>2017</v>
      </c>
      <c r="D403" s="81">
        <v>167.19</v>
      </c>
      <c r="E403" s="72" t="s">
        <v>1958</v>
      </c>
      <c r="F403" s="76" t="s">
        <v>1959</v>
      </c>
      <c r="G403" s="72" t="s">
        <v>2176</v>
      </c>
      <c r="H403" s="72" t="s">
        <v>1905</v>
      </c>
      <c r="I403" s="72" t="s">
        <v>2280</v>
      </c>
      <c r="J403" s="89">
        <v>31.72</v>
      </c>
      <c r="K403" s="72" t="s">
        <v>2281</v>
      </c>
      <c r="L403" s="89">
        <v>3.18</v>
      </c>
      <c r="M403" s="78" t="s">
        <v>1824</v>
      </c>
      <c r="N403" s="78" t="s">
        <v>1825</v>
      </c>
      <c r="O403" s="78"/>
      <c r="P403" s="80">
        <v>167.19</v>
      </c>
    </row>
    <row r="404" spans="1:16" x14ac:dyDescent="0.3">
      <c r="A404" s="72" t="s">
        <v>280</v>
      </c>
      <c r="B404" s="72" t="s">
        <v>2045</v>
      </c>
      <c r="C404" s="74">
        <v>2017</v>
      </c>
      <c r="D404" s="81">
        <v>136.63</v>
      </c>
      <c r="E404" s="72" t="s">
        <v>1958</v>
      </c>
      <c r="F404" s="76" t="s">
        <v>1959</v>
      </c>
      <c r="G404" s="72" t="s">
        <v>2176</v>
      </c>
      <c r="H404" s="72" t="s">
        <v>1905</v>
      </c>
      <c r="I404" s="72" t="s">
        <v>2282</v>
      </c>
      <c r="J404" s="89">
        <v>22.2</v>
      </c>
      <c r="K404" s="72" t="s">
        <v>2283</v>
      </c>
      <c r="L404" s="89">
        <v>4.93</v>
      </c>
      <c r="M404" s="78" t="s">
        <v>1824</v>
      </c>
      <c r="N404" s="78" t="s">
        <v>1825</v>
      </c>
      <c r="O404" s="78"/>
      <c r="P404" s="80">
        <v>136.63</v>
      </c>
    </row>
    <row r="405" spans="1:16" x14ac:dyDescent="0.3">
      <c r="A405" s="72" t="s">
        <v>170</v>
      </c>
      <c r="B405" s="72" t="s">
        <v>774</v>
      </c>
      <c r="C405" s="74">
        <v>2017</v>
      </c>
      <c r="D405" s="81">
        <v>185.99</v>
      </c>
      <c r="E405" s="72" t="s">
        <v>1958</v>
      </c>
      <c r="F405" s="76" t="s">
        <v>1959</v>
      </c>
      <c r="G405" s="72" t="s">
        <v>2176</v>
      </c>
      <c r="H405" s="72" t="s">
        <v>1905</v>
      </c>
      <c r="I405" s="72" t="s">
        <v>2284</v>
      </c>
      <c r="J405" s="89">
        <v>31.01</v>
      </c>
      <c r="K405" s="72" t="s">
        <v>2285</v>
      </c>
      <c r="L405" s="89">
        <v>5.73</v>
      </c>
      <c r="M405" s="78" t="s">
        <v>1824</v>
      </c>
      <c r="N405" s="78" t="s">
        <v>1825</v>
      </c>
      <c r="O405" s="78"/>
      <c r="P405" s="80">
        <v>185.99</v>
      </c>
    </row>
    <row r="406" spans="1:16" x14ac:dyDescent="0.3">
      <c r="A406" s="72" t="s">
        <v>226</v>
      </c>
      <c r="B406" s="72" t="s">
        <v>775</v>
      </c>
      <c r="C406" s="74">
        <v>2017</v>
      </c>
      <c r="D406" s="81">
        <v>159.56</v>
      </c>
      <c r="E406" s="72" t="s">
        <v>1958</v>
      </c>
      <c r="F406" s="76" t="s">
        <v>1959</v>
      </c>
      <c r="G406" s="72" t="s">
        <v>2176</v>
      </c>
      <c r="H406" s="72" t="s">
        <v>1905</v>
      </c>
      <c r="I406" s="72" t="s">
        <v>2286</v>
      </c>
      <c r="J406" s="89">
        <v>26.27</v>
      </c>
      <c r="K406" s="72" t="s">
        <v>2287</v>
      </c>
      <c r="L406" s="89">
        <v>7.4</v>
      </c>
      <c r="M406" s="78" t="s">
        <v>1824</v>
      </c>
      <c r="N406" s="78" t="s">
        <v>1825</v>
      </c>
      <c r="O406" s="78"/>
      <c r="P406" s="80">
        <v>159.56</v>
      </c>
    </row>
    <row r="407" spans="1:16" x14ac:dyDescent="0.3">
      <c r="A407" s="72" t="s">
        <v>73</v>
      </c>
      <c r="B407" s="72" t="s">
        <v>776</v>
      </c>
      <c r="C407" s="74">
        <v>2017</v>
      </c>
      <c r="D407" s="81">
        <v>208.92</v>
      </c>
      <c r="E407" s="72" t="s">
        <v>1958</v>
      </c>
      <c r="F407" s="76" t="s">
        <v>1959</v>
      </c>
      <c r="G407" s="72" t="s">
        <v>2176</v>
      </c>
      <c r="H407" s="72" t="s">
        <v>1905</v>
      </c>
      <c r="I407" s="72" t="s">
        <v>2288</v>
      </c>
      <c r="J407" s="89">
        <v>35.08</v>
      </c>
      <c r="K407" s="72" t="s">
        <v>2289</v>
      </c>
      <c r="L407" s="89">
        <v>8.19</v>
      </c>
      <c r="M407" s="78" t="s">
        <v>1824</v>
      </c>
      <c r="N407" s="78" t="s">
        <v>1825</v>
      </c>
      <c r="O407" s="78"/>
      <c r="P407" s="80">
        <v>208.92</v>
      </c>
    </row>
    <row r="408" spans="1:16" x14ac:dyDescent="0.3">
      <c r="A408" s="72" t="s">
        <v>368</v>
      </c>
      <c r="B408" s="72" t="s">
        <v>782</v>
      </c>
      <c r="C408" s="74">
        <v>2017</v>
      </c>
      <c r="D408" s="81">
        <v>129.53</v>
      </c>
      <c r="E408" s="72" t="s">
        <v>1958</v>
      </c>
      <c r="F408" s="76" t="s">
        <v>1959</v>
      </c>
      <c r="G408" s="72" t="s">
        <v>2176</v>
      </c>
      <c r="H408" s="72" t="s">
        <v>1905</v>
      </c>
      <c r="I408" s="72" t="s">
        <v>2290</v>
      </c>
      <c r="J408" s="89">
        <v>22.2</v>
      </c>
      <c r="K408" s="72" t="s">
        <v>2291</v>
      </c>
      <c r="L408" s="89">
        <v>2.95</v>
      </c>
      <c r="M408" s="78" t="s">
        <v>1824</v>
      </c>
      <c r="N408" s="78" t="s">
        <v>1825</v>
      </c>
      <c r="O408" s="78"/>
      <c r="P408" s="80">
        <v>129.53</v>
      </c>
    </row>
    <row r="409" spans="1:16" x14ac:dyDescent="0.3">
      <c r="A409" s="72" t="s">
        <v>50</v>
      </c>
      <c r="B409" s="72" t="s">
        <v>783</v>
      </c>
      <c r="C409" s="74">
        <v>2017</v>
      </c>
      <c r="D409" s="81">
        <v>178.85</v>
      </c>
      <c r="E409" s="72" t="s">
        <v>1958</v>
      </c>
      <c r="F409" s="76" t="s">
        <v>1959</v>
      </c>
      <c r="G409" s="72" t="s">
        <v>2176</v>
      </c>
      <c r="H409" s="72" t="s">
        <v>1905</v>
      </c>
      <c r="I409" s="72" t="s">
        <v>2292</v>
      </c>
      <c r="J409" s="89">
        <v>31.01</v>
      </c>
      <c r="K409" s="72" t="s">
        <v>2293</v>
      </c>
      <c r="L409" s="89">
        <v>3.72</v>
      </c>
      <c r="M409" s="78" t="s">
        <v>1824</v>
      </c>
      <c r="N409" s="78" t="s">
        <v>1825</v>
      </c>
      <c r="O409" s="78"/>
      <c r="P409" s="80">
        <v>178.85</v>
      </c>
    </row>
    <row r="410" spans="1:16" x14ac:dyDescent="0.3">
      <c r="A410" s="72" t="s">
        <v>91</v>
      </c>
      <c r="B410" s="72" t="s">
        <v>784</v>
      </c>
      <c r="C410" s="74">
        <v>2017</v>
      </c>
      <c r="D410" s="81">
        <v>153.37</v>
      </c>
      <c r="E410" s="72" t="s">
        <v>1958</v>
      </c>
      <c r="F410" s="76" t="s">
        <v>1959</v>
      </c>
      <c r="G410" s="72" t="s">
        <v>2176</v>
      </c>
      <c r="H410" s="72" t="s">
        <v>1905</v>
      </c>
      <c r="I410" s="72" t="s">
        <v>2294</v>
      </c>
      <c r="J410" s="89">
        <v>26.27</v>
      </c>
      <c r="K410" s="72" t="s">
        <v>2295</v>
      </c>
      <c r="L410" s="89">
        <v>5.31</v>
      </c>
      <c r="M410" s="78" t="s">
        <v>1824</v>
      </c>
      <c r="N410" s="78" t="s">
        <v>1825</v>
      </c>
      <c r="O410" s="78"/>
      <c r="P410" s="80">
        <v>153.37</v>
      </c>
    </row>
    <row r="411" spans="1:16" x14ac:dyDescent="0.3">
      <c r="A411" s="72" t="s">
        <v>60</v>
      </c>
      <c r="B411" s="72" t="s">
        <v>785</v>
      </c>
      <c r="C411" s="74">
        <v>2017</v>
      </c>
      <c r="D411" s="81">
        <v>202.7</v>
      </c>
      <c r="E411" s="72" t="s">
        <v>1958</v>
      </c>
      <c r="F411" s="76" t="s">
        <v>1959</v>
      </c>
      <c r="G411" s="72" t="s">
        <v>2176</v>
      </c>
      <c r="H411" s="72" t="s">
        <v>1905</v>
      </c>
      <c r="I411" s="72" t="s">
        <v>2296</v>
      </c>
      <c r="J411" s="89">
        <v>35.08</v>
      </c>
      <c r="K411" s="72" t="s">
        <v>2297</v>
      </c>
      <c r="L411" s="89">
        <v>6.08</v>
      </c>
      <c r="M411" s="78" t="s">
        <v>1824</v>
      </c>
      <c r="N411" s="78" t="s">
        <v>1825</v>
      </c>
      <c r="O411" s="78"/>
      <c r="P411" s="80">
        <v>202.7</v>
      </c>
    </row>
    <row r="412" spans="1:16" x14ac:dyDescent="0.3">
      <c r="A412" s="72" t="s">
        <v>81</v>
      </c>
      <c r="B412" s="72" t="s">
        <v>791</v>
      </c>
      <c r="C412" s="74">
        <v>2017</v>
      </c>
      <c r="D412" s="81">
        <v>168.15</v>
      </c>
      <c r="E412" s="72" t="s">
        <v>1958</v>
      </c>
      <c r="F412" s="76" t="s">
        <v>1959</v>
      </c>
      <c r="G412" s="72" t="s">
        <v>2176</v>
      </c>
      <c r="H412" s="72" t="s">
        <v>1905</v>
      </c>
      <c r="I412" s="72" t="s">
        <v>2298</v>
      </c>
      <c r="J412" s="89">
        <v>22.2</v>
      </c>
      <c r="K412" s="72" t="s">
        <v>2299</v>
      </c>
      <c r="L412" s="89">
        <v>4.93</v>
      </c>
      <c r="M412" s="78" t="s">
        <v>1824</v>
      </c>
      <c r="N412" s="78" t="s">
        <v>1825</v>
      </c>
      <c r="O412" s="78"/>
      <c r="P412" s="80">
        <v>168.15</v>
      </c>
    </row>
    <row r="413" spans="1:16" x14ac:dyDescent="0.3">
      <c r="A413" s="72" t="s">
        <v>120</v>
      </c>
      <c r="B413" s="72" t="s">
        <v>792</v>
      </c>
      <c r="C413" s="74">
        <v>2017</v>
      </c>
      <c r="D413" s="81">
        <v>251.58</v>
      </c>
      <c r="E413" s="72" t="s">
        <v>1958</v>
      </c>
      <c r="F413" s="76" t="s">
        <v>1959</v>
      </c>
      <c r="G413" s="72" t="s">
        <v>2176</v>
      </c>
      <c r="H413" s="72" t="s">
        <v>1905</v>
      </c>
      <c r="I413" s="72" t="s">
        <v>2300</v>
      </c>
      <c r="J413" s="89">
        <v>31.01</v>
      </c>
      <c r="K413" s="72" t="s">
        <v>2301</v>
      </c>
      <c r="L413" s="89">
        <v>5.73</v>
      </c>
      <c r="M413" s="78" t="s">
        <v>1824</v>
      </c>
      <c r="N413" s="78" t="s">
        <v>1825</v>
      </c>
      <c r="O413" s="78"/>
      <c r="P413" s="80">
        <v>251.58</v>
      </c>
    </row>
    <row r="414" spans="1:16" x14ac:dyDescent="0.3">
      <c r="A414" s="72" t="s">
        <v>382</v>
      </c>
      <c r="B414" s="72" t="s">
        <v>793</v>
      </c>
      <c r="C414" s="74">
        <v>2017</v>
      </c>
      <c r="D414" s="81">
        <v>197.17</v>
      </c>
      <c r="E414" s="72" t="s">
        <v>1958</v>
      </c>
      <c r="F414" s="76" t="s">
        <v>1959</v>
      </c>
      <c r="G414" s="72" t="s">
        <v>2176</v>
      </c>
      <c r="H414" s="72" t="s">
        <v>1905</v>
      </c>
      <c r="I414" s="72" t="s">
        <v>2302</v>
      </c>
      <c r="J414" s="89">
        <v>26.27</v>
      </c>
      <c r="K414" s="72" t="s">
        <v>2303</v>
      </c>
      <c r="L414" s="89">
        <v>7.4</v>
      </c>
      <c r="M414" s="78" t="s">
        <v>1824</v>
      </c>
      <c r="N414" s="78" t="s">
        <v>1825</v>
      </c>
      <c r="O414" s="78"/>
      <c r="P414" s="80">
        <v>197.17</v>
      </c>
    </row>
    <row r="415" spans="1:16" x14ac:dyDescent="0.3">
      <c r="A415" s="72" t="s">
        <v>161</v>
      </c>
      <c r="B415" s="72" t="s">
        <v>794</v>
      </c>
      <c r="C415" s="74">
        <v>2017</v>
      </c>
      <c r="D415" s="81">
        <v>280.58</v>
      </c>
      <c r="E415" s="72" t="s">
        <v>1958</v>
      </c>
      <c r="F415" s="76" t="s">
        <v>1959</v>
      </c>
      <c r="G415" s="72" t="s">
        <v>2176</v>
      </c>
      <c r="H415" s="72" t="s">
        <v>1905</v>
      </c>
      <c r="I415" s="72" t="s">
        <v>2304</v>
      </c>
      <c r="J415" s="89">
        <v>35.08</v>
      </c>
      <c r="K415" s="72" t="s">
        <v>2305</v>
      </c>
      <c r="L415" s="89">
        <v>8.19</v>
      </c>
      <c r="M415" s="78" t="s">
        <v>1824</v>
      </c>
      <c r="N415" s="78" t="s">
        <v>1825</v>
      </c>
      <c r="O415" s="78"/>
      <c r="P415" s="80">
        <v>280.58</v>
      </c>
    </row>
    <row r="416" spans="1:16" x14ac:dyDescent="0.3">
      <c r="A416" s="72" t="s">
        <v>237</v>
      </c>
      <c r="B416" s="72" t="s">
        <v>800</v>
      </c>
      <c r="C416" s="74">
        <v>2017</v>
      </c>
      <c r="D416" s="81">
        <v>163.33000000000001</v>
      </c>
      <c r="E416" s="72" t="s">
        <v>1958</v>
      </c>
      <c r="F416" s="76" t="s">
        <v>1959</v>
      </c>
      <c r="G416" s="72" t="s">
        <v>2176</v>
      </c>
      <c r="H416" s="72" t="s">
        <v>1905</v>
      </c>
      <c r="I416" s="72" t="s">
        <v>2306</v>
      </c>
      <c r="J416" s="89">
        <v>29.91</v>
      </c>
      <c r="K416" s="72" t="s">
        <v>2307</v>
      </c>
      <c r="L416" s="89">
        <v>4.93</v>
      </c>
      <c r="M416" s="78" t="s">
        <v>1824</v>
      </c>
      <c r="N416" s="78" t="s">
        <v>1825</v>
      </c>
      <c r="O416" s="78"/>
      <c r="P416" s="80">
        <v>163.33000000000001</v>
      </c>
    </row>
    <row r="417" spans="1:16" x14ac:dyDescent="0.3">
      <c r="A417" s="72" t="s">
        <v>199</v>
      </c>
      <c r="B417" s="72" t="s">
        <v>801</v>
      </c>
      <c r="C417" s="74">
        <v>2017</v>
      </c>
      <c r="D417" s="81">
        <v>212.69</v>
      </c>
      <c r="E417" s="72" t="s">
        <v>1958</v>
      </c>
      <c r="F417" s="76" t="s">
        <v>1959</v>
      </c>
      <c r="G417" s="72" t="s">
        <v>2176</v>
      </c>
      <c r="H417" s="72" t="s">
        <v>1905</v>
      </c>
      <c r="I417" s="72" t="s">
        <v>2308</v>
      </c>
      <c r="J417" s="89">
        <v>40.590000000000003</v>
      </c>
      <c r="K417" s="72" t="s">
        <v>2309</v>
      </c>
      <c r="L417" s="89">
        <v>5.73</v>
      </c>
      <c r="M417" s="78" t="s">
        <v>1824</v>
      </c>
      <c r="N417" s="78" t="s">
        <v>1825</v>
      </c>
      <c r="O417" s="78"/>
      <c r="P417" s="80">
        <v>212.69</v>
      </c>
    </row>
    <row r="418" spans="1:16" x14ac:dyDescent="0.3">
      <c r="A418" s="72" t="s">
        <v>122</v>
      </c>
      <c r="B418" s="72" t="s">
        <v>802</v>
      </c>
      <c r="C418" s="74">
        <v>2017</v>
      </c>
      <c r="D418" s="81">
        <v>186.25</v>
      </c>
      <c r="E418" s="72" t="s">
        <v>1958</v>
      </c>
      <c r="F418" s="76" t="s">
        <v>1959</v>
      </c>
      <c r="G418" s="72" t="s">
        <v>2176</v>
      </c>
      <c r="H418" s="72" t="s">
        <v>1905</v>
      </c>
      <c r="I418" s="72" t="s">
        <v>2310</v>
      </c>
      <c r="J418" s="89">
        <v>33.979999999999997</v>
      </c>
      <c r="K418" s="72" t="s">
        <v>2311</v>
      </c>
      <c r="L418" s="89">
        <v>7.4</v>
      </c>
      <c r="M418" s="78" t="s">
        <v>1824</v>
      </c>
      <c r="N418" s="78" t="s">
        <v>1825</v>
      </c>
      <c r="O418" s="78"/>
      <c r="P418" s="80">
        <v>186.25</v>
      </c>
    </row>
    <row r="419" spans="1:16" x14ac:dyDescent="0.3">
      <c r="A419" s="72" t="s">
        <v>111</v>
      </c>
      <c r="B419" s="72" t="s">
        <v>803</v>
      </c>
      <c r="C419" s="74">
        <v>2017</v>
      </c>
      <c r="D419" s="81">
        <v>235.6</v>
      </c>
      <c r="E419" s="72" t="s">
        <v>1958</v>
      </c>
      <c r="F419" s="76" t="s">
        <v>1959</v>
      </c>
      <c r="G419" s="72" t="s">
        <v>2176</v>
      </c>
      <c r="H419" s="72" t="s">
        <v>1905</v>
      </c>
      <c r="I419" s="72" t="s">
        <v>2312</v>
      </c>
      <c r="J419" s="89">
        <v>44.66</v>
      </c>
      <c r="K419" s="72" t="s">
        <v>2313</v>
      </c>
      <c r="L419" s="89">
        <v>8.19</v>
      </c>
      <c r="M419" s="78" t="s">
        <v>1824</v>
      </c>
      <c r="N419" s="78" t="s">
        <v>1825</v>
      </c>
      <c r="O419" s="78"/>
      <c r="P419" s="80">
        <v>235.6</v>
      </c>
    </row>
    <row r="420" spans="1:16" x14ac:dyDescent="0.3">
      <c r="A420" s="72" t="s">
        <v>2314</v>
      </c>
      <c r="B420" s="72" t="s">
        <v>2315</v>
      </c>
      <c r="C420" s="74">
        <v>2017</v>
      </c>
      <c r="D420" s="81">
        <v>182.05</v>
      </c>
      <c r="E420" s="72" t="s">
        <v>1958</v>
      </c>
      <c r="F420" s="76" t="s">
        <v>1959</v>
      </c>
      <c r="G420" s="72" t="s">
        <v>2209</v>
      </c>
      <c r="H420" s="72" t="s">
        <v>1905</v>
      </c>
      <c r="I420" s="72" t="s">
        <v>2316</v>
      </c>
      <c r="J420" s="89">
        <v>31.01</v>
      </c>
      <c r="K420" s="72" t="s">
        <v>2317</v>
      </c>
      <c r="L420" s="89">
        <v>6.08</v>
      </c>
      <c r="M420" s="78" t="s">
        <v>1824</v>
      </c>
      <c r="N420" s="78" t="s">
        <v>1825</v>
      </c>
      <c r="O420" s="78"/>
      <c r="P420" s="80">
        <v>182.05</v>
      </c>
    </row>
    <row r="421" spans="1:16" x14ac:dyDescent="0.3">
      <c r="A421" s="72" t="s">
        <v>2318</v>
      </c>
      <c r="B421" s="72" t="s">
        <v>2319</v>
      </c>
      <c r="C421" s="74">
        <v>2017</v>
      </c>
      <c r="D421" s="81">
        <v>204.94</v>
      </c>
      <c r="E421" s="72" t="s">
        <v>1958</v>
      </c>
      <c r="F421" s="76" t="s">
        <v>1959</v>
      </c>
      <c r="G421" s="72" t="s">
        <v>2209</v>
      </c>
      <c r="H421" s="72" t="s">
        <v>1905</v>
      </c>
      <c r="I421" s="72" t="s">
        <v>2320</v>
      </c>
      <c r="J421" s="89">
        <v>35.08</v>
      </c>
      <c r="K421" s="72" t="s">
        <v>2321</v>
      </c>
      <c r="L421" s="89">
        <v>6.08</v>
      </c>
      <c r="M421" s="78" t="s">
        <v>1824</v>
      </c>
      <c r="N421" s="78" t="s">
        <v>1825</v>
      </c>
      <c r="O421" s="78"/>
      <c r="P421" s="80">
        <v>204.94</v>
      </c>
    </row>
    <row r="422" spans="1:16" x14ac:dyDescent="0.3">
      <c r="A422" s="72" t="s">
        <v>132</v>
      </c>
      <c r="B422" s="72" t="s">
        <v>744</v>
      </c>
      <c r="C422" s="74">
        <v>2017</v>
      </c>
      <c r="D422" s="81">
        <v>143.01</v>
      </c>
      <c r="E422" s="72" t="s">
        <v>1958</v>
      </c>
      <c r="F422" s="76" t="s">
        <v>1959</v>
      </c>
      <c r="G422" s="72" t="s">
        <v>2176</v>
      </c>
      <c r="H422" s="72" t="s">
        <v>1905</v>
      </c>
      <c r="I422" s="72" t="s">
        <v>2322</v>
      </c>
      <c r="J422" s="89">
        <v>31.72</v>
      </c>
      <c r="K422" s="72" t="s">
        <v>2323</v>
      </c>
      <c r="L422" s="89">
        <v>3.18</v>
      </c>
      <c r="M422" s="78" t="s">
        <v>1824</v>
      </c>
      <c r="N422" s="78" t="s">
        <v>1825</v>
      </c>
      <c r="O422" s="78"/>
      <c r="P422" s="80">
        <v>143.01</v>
      </c>
    </row>
    <row r="423" spans="1:16" x14ac:dyDescent="0.3">
      <c r="A423" s="72" t="s">
        <v>388</v>
      </c>
      <c r="B423" s="72" t="s">
        <v>747</v>
      </c>
      <c r="C423" s="74">
        <v>2017</v>
      </c>
      <c r="D423" s="81">
        <v>184.26</v>
      </c>
      <c r="E423" s="72" t="s">
        <v>1958</v>
      </c>
      <c r="F423" s="76" t="s">
        <v>1959</v>
      </c>
      <c r="G423" s="72" t="s">
        <v>2176</v>
      </c>
      <c r="H423" s="72" t="s">
        <v>1905</v>
      </c>
      <c r="I423" s="72" t="s">
        <v>2324</v>
      </c>
      <c r="J423" s="89">
        <v>31.72</v>
      </c>
      <c r="K423" s="72" t="s">
        <v>2325</v>
      </c>
      <c r="L423" s="89">
        <v>3.18</v>
      </c>
      <c r="M423" s="78" t="s">
        <v>1824</v>
      </c>
      <c r="N423" s="78" t="s">
        <v>1825</v>
      </c>
      <c r="O423" s="78"/>
      <c r="P423" s="80">
        <v>184.26</v>
      </c>
    </row>
    <row r="424" spans="1:16" x14ac:dyDescent="0.3">
      <c r="A424" s="72" t="s">
        <v>145</v>
      </c>
      <c r="B424" s="72" t="s">
        <v>749</v>
      </c>
      <c r="C424" s="74">
        <v>2017</v>
      </c>
      <c r="D424" s="81">
        <v>227.36</v>
      </c>
      <c r="E424" s="72" t="s">
        <v>1958</v>
      </c>
      <c r="F424" s="76" t="s">
        <v>1959</v>
      </c>
      <c r="G424" s="72" t="s">
        <v>2176</v>
      </c>
      <c r="H424" s="72" t="s">
        <v>1905</v>
      </c>
      <c r="I424" s="72" t="s">
        <v>2326</v>
      </c>
      <c r="J424" s="89">
        <v>41.25</v>
      </c>
      <c r="K424" s="72" t="s">
        <v>2327</v>
      </c>
      <c r="L424" s="89">
        <v>6.08</v>
      </c>
      <c r="M424" s="78" t="s">
        <v>1824</v>
      </c>
      <c r="N424" s="78" t="s">
        <v>1825</v>
      </c>
      <c r="O424" s="78"/>
      <c r="P424" s="80">
        <v>227.36</v>
      </c>
    </row>
    <row r="425" spans="1:16" x14ac:dyDescent="0.3">
      <c r="A425" s="72" t="s">
        <v>333</v>
      </c>
      <c r="B425" s="72" t="s">
        <v>751</v>
      </c>
      <c r="C425" s="74">
        <v>2017</v>
      </c>
      <c r="D425" s="81">
        <v>267.43</v>
      </c>
      <c r="E425" s="72" t="s">
        <v>1958</v>
      </c>
      <c r="F425" s="76" t="s">
        <v>1959</v>
      </c>
      <c r="G425" s="72" t="s">
        <v>2176</v>
      </c>
      <c r="H425" s="72" t="s">
        <v>1905</v>
      </c>
      <c r="I425" s="72" t="s">
        <v>2328</v>
      </c>
      <c r="J425" s="89">
        <v>41.25</v>
      </c>
      <c r="K425" s="72" t="s">
        <v>2329</v>
      </c>
      <c r="L425" s="89">
        <v>6.08</v>
      </c>
      <c r="M425" s="78" t="s">
        <v>1824</v>
      </c>
      <c r="N425" s="78" t="s">
        <v>1825</v>
      </c>
      <c r="O425" s="78"/>
      <c r="P425" s="80">
        <v>267.43</v>
      </c>
    </row>
    <row r="426" spans="1:16" x14ac:dyDescent="0.3">
      <c r="A426" s="72" t="s">
        <v>354</v>
      </c>
      <c r="B426" s="72" t="s">
        <v>753</v>
      </c>
      <c r="C426" s="74">
        <v>2017</v>
      </c>
      <c r="D426" s="81">
        <v>266.2</v>
      </c>
      <c r="E426" s="72" t="s">
        <v>1958</v>
      </c>
      <c r="F426" s="76" t="s">
        <v>1959</v>
      </c>
      <c r="G426" s="72" t="s">
        <v>2176</v>
      </c>
      <c r="H426" s="72" t="s">
        <v>1905</v>
      </c>
      <c r="I426" s="72" t="s">
        <v>2330</v>
      </c>
      <c r="J426" s="89">
        <v>41.25</v>
      </c>
      <c r="K426" s="72" t="s">
        <v>2331</v>
      </c>
      <c r="L426" s="89">
        <v>6.08</v>
      </c>
      <c r="M426" s="78" t="s">
        <v>1824</v>
      </c>
      <c r="N426" s="78" t="s">
        <v>1825</v>
      </c>
      <c r="O426" s="78"/>
      <c r="P426" s="80">
        <v>266.2</v>
      </c>
    </row>
    <row r="427" spans="1:16" x14ac:dyDescent="0.3">
      <c r="A427" s="72" t="s">
        <v>2332</v>
      </c>
      <c r="B427" s="72" t="s">
        <v>2333</v>
      </c>
      <c r="C427" s="74">
        <v>2017</v>
      </c>
      <c r="D427" s="81">
        <v>267.79000000000002</v>
      </c>
      <c r="E427" s="72" t="s">
        <v>1958</v>
      </c>
      <c r="F427" s="76" t="s">
        <v>1959</v>
      </c>
      <c r="G427" s="72" t="s">
        <v>2209</v>
      </c>
      <c r="H427" s="72" t="s">
        <v>1905</v>
      </c>
      <c r="I427" s="72" t="s">
        <v>2334</v>
      </c>
      <c r="J427" s="89">
        <v>41.25</v>
      </c>
      <c r="K427" s="72" t="s">
        <v>2335</v>
      </c>
      <c r="L427" s="89">
        <v>6.08</v>
      </c>
      <c r="M427" s="78" t="s">
        <v>1824</v>
      </c>
      <c r="N427" s="78" t="s">
        <v>1825</v>
      </c>
      <c r="O427" s="78"/>
      <c r="P427" s="80">
        <v>267.79000000000002</v>
      </c>
    </row>
    <row r="428" spans="1:16" x14ac:dyDescent="0.3">
      <c r="A428" s="72" t="s">
        <v>564</v>
      </c>
      <c r="B428" s="72" t="s">
        <v>755</v>
      </c>
      <c r="C428" s="74">
        <v>2017</v>
      </c>
      <c r="D428" s="81">
        <v>346.54</v>
      </c>
      <c r="E428" s="72" t="s">
        <v>1958</v>
      </c>
      <c r="F428" s="76" t="s">
        <v>1959</v>
      </c>
      <c r="G428" s="72" t="s">
        <v>2176</v>
      </c>
      <c r="H428" s="72" t="s">
        <v>1905</v>
      </c>
      <c r="I428" s="72" t="s">
        <v>2336</v>
      </c>
      <c r="J428" s="89">
        <v>41.25</v>
      </c>
      <c r="K428" s="72" t="s">
        <v>2337</v>
      </c>
      <c r="L428" s="89">
        <v>8.19</v>
      </c>
      <c r="M428" s="78" t="s">
        <v>1824</v>
      </c>
      <c r="N428" s="78" t="s">
        <v>1825</v>
      </c>
      <c r="O428" s="78"/>
      <c r="P428" s="80">
        <v>346.54</v>
      </c>
    </row>
    <row r="429" spans="1:16" x14ac:dyDescent="0.3">
      <c r="A429" s="72" t="s">
        <v>133</v>
      </c>
      <c r="B429" s="72" t="s">
        <v>810</v>
      </c>
      <c r="C429" s="74">
        <v>2017</v>
      </c>
      <c r="D429" s="81">
        <v>90.94</v>
      </c>
      <c r="E429" s="72" t="s">
        <v>1958</v>
      </c>
      <c r="F429" s="76" t="s">
        <v>1959</v>
      </c>
      <c r="G429" s="72" t="s">
        <v>2167</v>
      </c>
      <c r="H429" s="72" t="s">
        <v>1905</v>
      </c>
      <c r="I429" s="72" t="s">
        <v>2338</v>
      </c>
      <c r="J429" s="89">
        <v>24.32</v>
      </c>
      <c r="K429" s="72" t="s">
        <v>2339</v>
      </c>
      <c r="L429" s="89">
        <v>1.65</v>
      </c>
      <c r="M429" s="78" t="s">
        <v>1824</v>
      </c>
      <c r="N429" s="78" t="s">
        <v>1825</v>
      </c>
      <c r="O429" s="78"/>
      <c r="P429" s="80">
        <v>90.94</v>
      </c>
    </row>
    <row r="430" spans="1:16" x14ac:dyDescent="0.3">
      <c r="A430" s="72" t="s">
        <v>207</v>
      </c>
      <c r="B430" s="72" t="s">
        <v>813</v>
      </c>
      <c r="C430" s="74">
        <v>2017</v>
      </c>
      <c r="D430" s="81">
        <v>135.44</v>
      </c>
      <c r="E430" s="72" t="s">
        <v>1958</v>
      </c>
      <c r="F430" s="76" t="s">
        <v>1959</v>
      </c>
      <c r="G430" s="72" t="s">
        <v>2167</v>
      </c>
      <c r="H430" s="72" t="s">
        <v>1905</v>
      </c>
      <c r="I430" s="72" t="s">
        <v>2340</v>
      </c>
      <c r="J430" s="89">
        <v>31.72</v>
      </c>
      <c r="K430" s="72" t="s">
        <v>2341</v>
      </c>
      <c r="L430" s="89">
        <v>3.01</v>
      </c>
      <c r="M430" s="78" t="s">
        <v>1824</v>
      </c>
      <c r="N430" s="78" t="s">
        <v>1825</v>
      </c>
      <c r="O430" s="78"/>
      <c r="P430" s="80">
        <v>135.44</v>
      </c>
    </row>
    <row r="431" spans="1:16" x14ac:dyDescent="0.3">
      <c r="A431" s="72" t="s">
        <v>338</v>
      </c>
      <c r="B431" s="72" t="s">
        <v>1162</v>
      </c>
      <c r="C431" s="74">
        <v>2017</v>
      </c>
      <c r="D431" s="81">
        <v>120.81</v>
      </c>
      <c r="E431" s="72" t="s">
        <v>1958</v>
      </c>
      <c r="F431" s="76" t="s">
        <v>1959</v>
      </c>
      <c r="G431" s="72" t="s">
        <v>2176</v>
      </c>
      <c r="H431" s="72" t="s">
        <v>1905</v>
      </c>
      <c r="I431" s="72" t="s">
        <v>2342</v>
      </c>
      <c r="J431" s="89">
        <v>24.32</v>
      </c>
      <c r="K431" s="72" t="s">
        <v>2343</v>
      </c>
      <c r="L431" s="89">
        <v>1.65</v>
      </c>
      <c r="M431" s="78" t="s">
        <v>1824</v>
      </c>
      <c r="N431" s="78" t="s">
        <v>1825</v>
      </c>
      <c r="O431" s="78"/>
      <c r="P431" s="80">
        <v>120.81</v>
      </c>
    </row>
    <row r="432" spans="1:16" x14ac:dyDescent="0.3">
      <c r="A432" s="72" t="s">
        <v>116</v>
      </c>
      <c r="B432" s="72" t="s">
        <v>1163</v>
      </c>
      <c r="C432" s="74">
        <v>2017</v>
      </c>
      <c r="D432" s="81">
        <v>161.33000000000001</v>
      </c>
      <c r="E432" s="72" t="s">
        <v>1958</v>
      </c>
      <c r="F432" s="76" t="s">
        <v>1959</v>
      </c>
      <c r="G432" s="72" t="s">
        <v>2176</v>
      </c>
      <c r="H432" s="72" t="s">
        <v>1905</v>
      </c>
      <c r="I432" s="72" t="s">
        <v>2344</v>
      </c>
      <c r="J432" s="89">
        <v>31.72</v>
      </c>
      <c r="K432" s="72" t="s">
        <v>2345</v>
      </c>
      <c r="L432" s="89">
        <v>3.01</v>
      </c>
      <c r="M432" s="78" t="s">
        <v>1824</v>
      </c>
      <c r="N432" s="78" t="s">
        <v>1825</v>
      </c>
      <c r="O432" s="78"/>
      <c r="P432" s="80">
        <v>161.33000000000001</v>
      </c>
    </row>
    <row r="433" spans="1:16" x14ac:dyDescent="0.3">
      <c r="A433" s="72" t="s">
        <v>76</v>
      </c>
      <c r="B433" s="72" t="s">
        <v>834</v>
      </c>
      <c r="C433" s="74">
        <v>2017</v>
      </c>
      <c r="D433" s="81">
        <v>105.88</v>
      </c>
      <c r="E433" s="72" t="s">
        <v>1958</v>
      </c>
      <c r="F433" s="76" t="s">
        <v>1959</v>
      </c>
      <c r="G433" s="72" t="s">
        <v>2167</v>
      </c>
      <c r="H433" s="72" t="s">
        <v>1905</v>
      </c>
      <c r="I433" s="72" t="s">
        <v>2346</v>
      </c>
      <c r="J433" s="89">
        <v>24.32</v>
      </c>
      <c r="K433" s="72" t="s">
        <v>2347</v>
      </c>
      <c r="L433" s="89">
        <v>1.65</v>
      </c>
      <c r="M433" s="78" t="s">
        <v>1824</v>
      </c>
      <c r="N433" s="78" t="s">
        <v>1825</v>
      </c>
      <c r="O433" s="78"/>
      <c r="P433" s="80">
        <v>105.88</v>
      </c>
    </row>
    <row r="434" spans="1:16" x14ac:dyDescent="0.3">
      <c r="A434" s="72" t="s">
        <v>159</v>
      </c>
      <c r="B434" s="72" t="s">
        <v>837</v>
      </c>
      <c r="C434" s="74">
        <v>2017</v>
      </c>
      <c r="D434" s="81">
        <v>150.38</v>
      </c>
      <c r="E434" s="72" t="s">
        <v>1958</v>
      </c>
      <c r="F434" s="76" t="s">
        <v>1959</v>
      </c>
      <c r="G434" s="72" t="s">
        <v>2167</v>
      </c>
      <c r="H434" s="72" t="s">
        <v>1905</v>
      </c>
      <c r="I434" s="72" t="s">
        <v>2348</v>
      </c>
      <c r="J434" s="89">
        <v>31.72</v>
      </c>
      <c r="K434" s="72" t="s">
        <v>2349</v>
      </c>
      <c r="L434" s="89">
        <v>3.01</v>
      </c>
      <c r="M434" s="78" t="s">
        <v>1824</v>
      </c>
      <c r="N434" s="78" t="s">
        <v>1825</v>
      </c>
      <c r="O434" s="78"/>
      <c r="P434" s="80">
        <v>150.38</v>
      </c>
    </row>
    <row r="435" spans="1:16" x14ac:dyDescent="0.3">
      <c r="A435" s="72" t="s">
        <v>331</v>
      </c>
      <c r="B435" s="72" t="s">
        <v>840</v>
      </c>
      <c r="C435" s="74">
        <v>2017</v>
      </c>
      <c r="D435" s="81">
        <v>137.43</v>
      </c>
      <c r="E435" s="72" t="s">
        <v>1958</v>
      </c>
      <c r="F435" s="76" t="s">
        <v>1959</v>
      </c>
      <c r="G435" s="72" t="s">
        <v>2167</v>
      </c>
      <c r="H435" s="72" t="s">
        <v>1905</v>
      </c>
      <c r="I435" s="72" t="s">
        <v>2350</v>
      </c>
      <c r="J435" s="89">
        <v>24.32</v>
      </c>
      <c r="K435" s="72" t="s">
        <v>2351</v>
      </c>
      <c r="L435" s="89">
        <v>2.95</v>
      </c>
      <c r="M435" s="78" t="s">
        <v>1824</v>
      </c>
      <c r="N435" s="78" t="s">
        <v>1825</v>
      </c>
      <c r="O435" s="78"/>
      <c r="P435" s="80">
        <v>137.43</v>
      </c>
    </row>
    <row r="436" spans="1:16" x14ac:dyDescent="0.3">
      <c r="A436" s="72" t="s">
        <v>140</v>
      </c>
      <c r="B436" s="72" t="s">
        <v>843</v>
      </c>
      <c r="C436" s="74">
        <v>2017</v>
      </c>
      <c r="D436" s="81">
        <v>181.94</v>
      </c>
      <c r="E436" s="72" t="s">
        <v>1958</v>
      </c>
      <c r="F436" s="76" t="s">
        <v>1959</v>
      </c>
      <c r="G436" s="72" t="s">
        <v>2167</v>
      </c>
      <c r="H436" s="72" t="s">
        <v>1905</v>
      </c>
      <c r="I436" s="72" t="s">
        <v>2352</v>
      </c>
      <c r="J436" s="89">
        <v>31.72</v>
      </c>
      <c r="K436" s="72" t="s">
        <v>2353</v>
      </c>
      <c r="L436" s="89">
        <v>4.3099999999999996</v>
      </c>
      <c r="M436" s="78" t="s">
        <v>1824</v>
      </c>
      <c r="N436" s="78" t="s">
        <v>1825</v>
      </c>
      <c r="O436" s="78"/>
      <c r="P436" s="80">
        <v>181.94</v>
      </c>
    </row>
    <row r="437" spans="1:16" x14ac:dyDescent="0.3">
      <c r="A437" s="72" t="s">
        <v>204</v>
      </c>
      <c r="B437" s="72" t="s">
        <v>858</v>
      </c>
      <c r="C437" s="74">
        <v>2017</v>
      </c>
      <c r="D437" s="81">
        <v>122.71</v>
      </c>
      <c r="E437" s="72" t="s">
        <v>1958</v>
      </c>
      <c r="F437" s="76" t="s">
        <v>1959</v>
      </c>
      <c r="G437" s="72" t="s">
        <v>2176</v>
      </c>
      <c r="H437" s="72" t="s">
        <v>1905</v>
      </c>
      <c r="I437" s="72" t="s">
        <v>2354</v>
      </c>
      <c r="J437" s="89">
        <v>24.32</v>
      </c>
      <c r="K437" s="72" t="s">
        <v>2355</v>
      </c>
      <c r="L437" s="89">
        <v>1.65</v>
      </c>
      <c r="M437" s="78" t="s">
        <v>1824</v>
      </c>
      <c r="N437" s="78" t="s">
        <v>1825</v>
      </c>
      <c r="O437" s="78"/>
      <c r="P437" s="80">
        <v>122.71</v>
      </c>
    </row>
    <row r="438" spans="1:16" x14ac:dyDescent="0.3">
      <c r="A438" s="72" t="s">
        <v>100</v>
      </c>
      <c r="B438" s="72" t="s">
        <v>861</v>
      </c>
      <c r="C438" s="74">
        <v>2017</v>
      </c>
      <c r="D438" s="81">
        <v>163.22</v>
      </c>
      <c r="E438" s="72" t="s">
        <v>1958</v>
      </c>
      <c r="F438" s="76" t="s">
        <v>1959</v>
      </c>
      <c r="G438" s="72" t="s">
        <v>2176</v>
      </c>
      <c r="H438" s="72" t="s">
        <v>1905</v>
      </c>
      <c r="I438" s="72" t="s">
        <v>2356</v>
      </c>
      <c r="J438" s="89">
        <v>31.72</v>
      </c>
      <c r="K438" s="72" t="s">
        <v>2357</v>
      </c>
      <c r="L438" s="89">
        <v>3.01</v>
      </c>
      <c r="M438" s="78" t="s">
        <v>1824</v>
      </c>
      <c r="N438" s="78" t="s">
        <v>1825</v>
      </c>
      <c r="O438" s="78"/>
      <c r="P438" s="80">
        <v>163.22</v>
      </c>
    </row>
    <row r="439" spans="1:16" x14ac:dyDescent="0.3">
      <c r="A439" s="72" t="s">
        <v>118</v>
      </c>
      <c r="B439" s="72" t="s">
        <v>864</v>
      </c>
      <c r="C439" s="74">
        <v>2017</v>
      </c>
      <c r="D439" s="81">
        <v>154.79</v>
      </c>
      <c r="E439" s="72" t="s">
        <v>1958</v>
      </c>
      <c r="F439" s="76" t="s">
        <v>1959</v>
      </c>
      <c r="G439" s="72" t="s">
        <v>2176</v>
      </c>
      <c r="H439" s="72" t="s">
        <v>1905</v>
      </c>
      <c r="I439" s="72" t="s">
        <v>2358</v>
      </c>
      <c r="J439" s="89">
        <v>24.32</v>
      </c>
      <c r="K439" s="72" t="s">
        <v>2359</v>
      </c>
      <c r="L439" s="89">
        <v>2.95</v>
      </c>
      <c r="M439" s="78" t="s">
        <v>1824</v>
      </c>
      <c r="N439" s="78" t="s">
        <v>1825</v>
      </c>
      <c r="O439" s="78"/>
      <c r="P439" s="80">
        <v>154.79</v>
      </c>
    </row>
    <row r="440" spans="1:16" x14ac:dyDescent="0.3">
      <c r="A440" s="72" t="s">
        <v>316</v>
      </c>
      <c r="B440" s="72" t="s">
        <v>867</v>
      </c>
      <c r="C440" s="74">
        <v>2017</v>
      </c>
      <c r="D440" s="81">
        <v>195.3</v>
      </c>
      <c r="E440" s="72" t="s">
        <v>1958</v>
      </c>
      <c r="F440" s="76" t="s">
        <v>1959</v>
      </c>
      <c r="G440" s="72" t="s">
        <v>2176</v>
      </c>
      <c r="H440" s="72" t="s">
        <v>1905</v>
      </c>
      <c r="I440" s="72" t="s">
        <v>2360</v>
      </c>
      <c r="J440" s="89">
        <v>31.72</v>
      </c>
      <c r="K440" s="72" t="s">
        <v>2361</v>
      </c>
      <c r="L440" s="89">
        <v>4.3099999999999996</v>
      </c>
      <c r="M440" s="78" t="s">
        <v>1824</v>
      </c>
      <c r="N440" s="78" t="s">
        <v>1825</v>
      </c>
      <c r="O440" s="78"/>
      <c r="P440" s="80">
        <v>195.3</v>
      </c>
    </row>
    <row r="441" spans="1:16" x14ac:dyDescent="0.3">
      <c r="A441" s="72" t="s">
        <v>355</v>
      </c>
      <c r="B441" s="72" t="s">
        <v>883</v>
      </c>
      <c r="C441" s="74">
        <v>2017</v>
      </c>
      <c r="D441" s="81">
        <v>145.4</v>
      </c>
      <c r="E441" s="72" t="s">
        <v>1958</v>
      </c>
      <c r="F441" s="76" t="s">
        <v>1959</v>
      </c>
      <c r="G441" s="72" t="s">
        <v>2176</v>
      </c>
      <c r="H441" s="72" t="s">
        <v>1905</v>
      </c>
      <c r="I441" s="72" t="s">
        <v>2362</v>
      </c>
      <c r="J441" s="89">
        <v>24.07</v>
      </c>
      <c r="K441" s="72" t="s">
        <v>2363</v>
      </c>
      <c r="L441" s="89">
        <v>4.93</v>
      </c>
      <c r="M441" s="78" t="s">
        <v>1824</v>
      </c>
      <c r="N441" s="78" t="s">
        <v>1825</v>
      </c>
      <c r="O441" s="78"/>
      <c r="P441" s="80">
        <v>145.4</v>
      </c>
    </row>
    <row r="442" spans="1:16" x14ac:dyDescent="0.3">
      <c r="A442" s="72" t="s">
        <v>152</v>
      </c>
      <c r="B442" s="72" t="s">
        <v>886</v>
      </c>
      <c r="C442" s="74">
        <v>2017</v>
      </c>
      <c r="D442" s="81">
        <v>189.9</v>
      </c>
      <c r="E442" s="72" t="s">
        <v>1958</v>
      </c>
      <c r="F442" s="76" t="s">
        <v>1959</v>
      </c>
      <c r="G442" s="72" t="s">
        <v>2176</v>
      </c>
      <c r="H442" s="72" t="s">
        <v>1905</v>
      </c>
      <c r="I442" s="72" t="s">
        <v>2364</v>
      </c>
      <c r="J442" s="89">
        <v>32.880000000000003</v>
      </c>
      <c r="K442" s="72" t="s">
        <v>2365</v>
      </c>
      <c r="L442" s="89">
        <v>5.73</v>
      </c>
      <c r="M442" s="78" t="s">
        <v>1824</v>
      </c>
      <c r="N442" s="78" t="s">
        <v>1825</v>
      </c>
      <c r="O442" s="78"/>
      <c r="P442" s="80">
        <v>189.9</v>
      </c>
    </row>
    <row r="443" spans="1:16" x14ac:dyDescent="0.3">
      <c r="A443" s="72" t="s">
        <v>357</v>
      </c>
      <c r="B443" s="72" t="s">
        <v>889</v>
      </c>
      <c r="C443" s="74">
        <v>2017</v>
      </c>
      <c r="D443" s="81">
        <v>182.43</v>
      </c>
      <c r="E443" s="72" t="s">
        <v>1958</v>
      </c>
      <c r="F443" s="76" t="s">
        <v>1959</v>
      </c>
      <c r="G443" s="72" t="s">
        <v>2176</v>
      </c>
      <c r="H443" s="72" t="s">
        <v>1905</v>
      </c>
      <c r="I443" s="72" t="s">
        <v>2366</v>
      </c>
      <c r="J443" s="89">
        <v>28.14</v>
      </c>
      <c r="K443" s="72" t="s">
        <v>2367</v>
      </c>
      <c r="L443" s="89">
        <v>7.4</v>
      </c>
      <c r="M443" s="78" t="s">
        <v>1824</v>
      </c>
      <c r="N443" s="78" t="s">
        <v>1825</v>
      </c>
      <c r="O443" s="78"/>
      <c r="P443" s="80">
        <v>182.43</v>
      </c>
    </row>
    <row r="444" spans="1:16" x14ac:dyDescent="0.3">
      <c r="A444" s="72" t="s">
        <v>84</v>
      </c>
      <c r="B444" s="72" t="s">
        <v>892</v>
      </c>
      <c r="C444" s="74">
        <v>2017</v>
      </c>
      <c r="D444" s="81">
        <v>226.92</v>
      </c>
      <c r="E444" s="72" t="s">
        <v>1958</v>
      </c>
      <c r="F444" s="76" t="s">
        <v>1959</v>
      </c>
      <c r="G444" s="72" t="s">
        <v>2176</v>
      </c>
      <c r="H444" s="72" t="s">
        <v>1905</v>
      </c>
      <c r="I444" s="72" t="s">
        <v>2368</v>
      </c>
      <c r="J444" s="89">
        <v>36.950000000000003</v>
      </c>
      <c r="K444" s="72" t="s">
        <v>2369</v>
      </c>
      <c r="L444" s="89">
        <v>8.19</v>
      </c>
      <c r="M444" s="78" t="s">
        <v>1824</v>
      </c>
      <c r="N444" s="78" t="s">
        <v>1825</v>
      </c>
      <c r="O444" s="78"/>
      <c r="P444" s="80">
        <v>226.92</v>
      </c>
    </row>
    <row r="445" spans="1:16" x14ac:dyDescent="0.3">
      <c r="A445" s="72" t="s">
        <v>180</v>
      </c>
      <c r="B445" s="72" t="s">
        <v>908</v>
      </c>
      <c r="C445" s="74">
        <v>2017</v>
      </c>
      <c r="D445" s="81">
        <v>159.72999999999999</v>
      </c>
      <c r="E445" s="72" t="s">
        <v>1958</v>
      </c>
      <c r="F445" s="76" t="s">
        <v>1959</v>
      </c>
      <c r="G445" s="72" t="s">
        <v>2176</v>
      </c>
      <c r="H445" s="72" t="s">
        <v>1905</v>
      </c>
      <c r="I445" s="72" t="s">
        <v>2370</v>
      </c>
      <c r="J445" s="89">
        <v>29.16</v>
      </c>
      <c r="K445" s="72" t="s">
        <v>2371</v>
      </c>
      <c r="L445" s="89">
        <v>4.93</v>
      </c>
      <c r="M445" s="78" t="s">
        <v>1824</v>
      </c>
      <c r="N445" s="78" t="s">
        <v>1825</v>
      </c>
      <c r="O445" s="78"/>
      <c r="P445" s="80">
        <v>159.72999999999999</v>
      </c>
    </row>
    <row r="446" spans="1:16" x14ac:dyDescent="0.3">
      <c r="A446" s="72" t="s">
        <v>51</v>
      </c>
      <c r="B446" s="72" t="s">
        <v>911</v>
      </c>
      <c r="C446" s="74">
        <v>2017</v>
      </c>
      <c r="D446" s="81">
        <v>200.25</v>
      </c>
      <c r="E446" s="72" t="s">
        <v>1958</v>
      </c>
      <c r="F446" s="76" t="s">
        <v>1959</v>
      </c>
      <c r="G446" s="72" t="s">
        <v>2176</v>
      </c>
      <c r="H446" s="72" t="s">
        <v>1905</v>
      </c>
      <c r="I446" s="72" t="s">
        <v>2372</v>
      </c>
      <c r="J446" s="89">
        <v>39.840000000000003</v>
      </c>
      <c r="K446" s="72" t="s">
        <v>2373</v>
      </c>
      <c r="L446" s="89">
        <v>5.73</v>
      </c>
      <c r="M446" s="78" t="s">
        <v>1824</v>
      </c>
      <c r="N446" s="78" t="s">
        <v>1825</v>
      </c>
      <c r="O446" s="78"/>
      <c r="P446" s="80">
        <v>200.25</v>
      </c>
    </row>
    <row r="447" spans="1:16" x14ac:dyDescent="0.3">
      <c r="A447" s="72" t="s">
        <v>358</v>
      </c>
      <c r="B447" s="72" t="s">
        <v>914</v>
      </c>
      <c r="C447" s="74">
        <v>2017</v>
      </c>
      <c r="D447" s="81">
        <v>202.08</v>
      </c>
      <c r="E447" s="72" t="s">
        <v>1958</v>
      </c>
      <c r="F447" s="76" t="s">
        <v>1959</v>
      </c>
      <c r="G447" s="72" t="s">
        <v>2176</v>
      </c>
      <c r="H447" s="72" t="s">
        <v>1905</v>
      </c>
      <c r="I447" s="72" t="s">
        <v>2374</v>
      </c>
      <c r="J447" s="89">
        <v>33.229999999999997</v>
      </c>
      <c r="K447" s="72" t="s">
        <v>2375</v>
      </c>
      <c r="L447" s="89">
        <v>7.4</v>
      </c>
      <c r="M447" s="78" t="s">
        <v>1824</v>
      </c>
      <c r="N447" s="78" t="s">
        <v>1825</v>
      </c>
      <c r="O447" s="78"/>
      <c r="P447" s="80">
        <v>202.08</v>
      </c>
    </row>
    <row r="448" spans="1:16" x14ac:dyDescent="0.3">
      <c r="A448" s="72" t="s">
        <v>139</v>
      </c>
      <c r="B448" s="72" t="s">
        <v>917</v>
      </c>
      <c r="C448" s="74">
        <v>2017</v>
      </c>
      <c r="D448" s="81">
        <v>242.56</v>
      </c>
      <c r="E448" s="72" t="s">
        <v>1958</v>
      </c>
      <c r="F448" s="76" t="s">
        <v>1959</v>
      </c>
      <c r="G448" s="72" t="s">
        <v>2176</v>
      </c>
      <c r="H448" s="72" t="s">
        <v>1905</v>
      </c>
      <c r="I448" s="72" t="s">
        <v>2376</v>
      </c>
      <c r="J448" s="89">
        <v>43.91</v>
      </c>
      <c r="K448" s="72" t="s">
        <v>2377</v>
      </c>
      <c r="L448" s="89">
        <v>8.19</v>
      </c>
      <c r="M448" s="78" t="s">
        <v>1824</v>
      </c>
      <c r="N448" s="78" t="s">
        <v>1825</v>
      </c>
      <c r="O448" s="78"/>
      <c r="P448" s="80">
        <v>242.56</v>
      </c>
    </row>
    <row r="449" spans="1:16" x14ac:dyDescent="0.3">
      <c r="A449" s="72" t="s">
        <v>229</v>
      </c>
      <c r="B449" s="72" t="s">
        <v>933</v>
      </c>
      <c r="C449" s="74">
        <v>2017</v>
      </c>
      <c r="D449" s="81">
        <v>178.51</v>
      </c>
      <c r="E449" s="72" t="s">
        <v>1958</v>
      </c>
      <c r="F449" s="76" t="s">
        <v>1959</v>
      </c>
      <c r="G449" s="72" t="s">
        <v>2176</v>
      </c>
      <c r="H449" s="72" t="s">
        <v>1905</v>
      </c>
      <c r="I449" s="72" t="s">
        <v>2378</v>
      </c>
      <c r="J449" s="89">
        <v>29.16</v>
      </c>
      <c r="K449" s="72" t="s">
        <v>2379</v>
      </c>
      <c r="L449" s="89">
        <v>4.93</v>
      </c>
      <c r="M449" s="78" t="s">
        <v>1824</v>
      </c>
      <c r="N449" s="78" t="s">
        <v>1825</v>
      </c>
      <c r="O449" s="78"/>
      <c r="P449" s="80">
        <v>178.51</v>
      </c>
    </row>
    <row r="450" spans="1:16" x14ac:dyDescent="0.3">
      <c r="A450" s="72" t="s">
        <v>211</v>
      </c>
      <c r="B450" s="72" t="s">
        <v>936</v>
      </c>
      <c r="C450" s="74">
        <v>2017</v>
      </c>
      <c r="D450" s="81">
        <v>212.52</v>
      </c>
      <c r="E450" s="72" t="s">
        <v>1958</v>
      </c>
      <c r="F450" s="76" t="s">
        <v>1959</v>
      </c>
      <c r="G450" s="72" t="s">
        <v>2176</v>
      </c>
      <c r="H450" s="72" t="s">
        <v>1905</v>
      </c>
      <c r="I450" s="72" t="s">
        <v>2380</v>
      </c>
      <c r="J450" s="89">
        <v>39.840000000000003</v>
      </c>
      <c r="K450" s="72" t="s">
        <v>2381</v>
      </c>
      <c r="L450" s="89">
        <v>5.73</v>
      </c>
      <c r="M450" s="78" t="s">
        <v>1824</v>
      </c>
      <c r="N450" s="78" t="s">
        <v>1825</v>
      </c>
      <c r="O450" s="78"/>
      <c r="P450" s="80">
        <v>212.52</v>
      </c>
    </row>
    <row r="451" spans="1:16" x14ac:dyDescent="0.3">
      <c r="A451" s="72" t="s">
        <v>238</v>
      </c>
      <c r="B451" s="72" t="s">
        <v>939</v>
      </c>
      <c r="C451" s="74">
        <v>2017</v>
      </c>
      <c r="D451" s="81">
        <v>217.34</v>
      </c>
      <c r="E451" s="72" t="s">
        <v>1958</v>
      </c>
      <c r="F451" s="76" t="s">
        <v>1959</v>
      </c>
      <c r="G451" s="72" t="s">
        <v>2176</v>
      </c>
      <c r="H451" s="72" t="s">
        <v>1905</v>
      </c>
      <c r="I451" s="72" t="s">
        <v>2382</v>
      </c>
      <c r="J451" s="89">
        <v>33.229999999999997</v>
      </c>
      <c r="K451" s="72" t="s">
        <v>2383</v>
      </c>
      <c r="L451" s="89">
        <v>7.4</v>
      </c>
      <c r="M451" s="78" t="s">
        <v>1824</v>
      </c>
      <c r="N451" s="78" t="s">
        <v>1825</v>
      </c>
      <c r="O451" s="78"/>
      <c r="P451" s="80">
        <v>217.34</v>
      </c>
    </row>
    <row r="452" spans="1:16" x14ac:dyDescent="0.3">
      <c r="A452" s="72" t="s">
        <v>347</v>
      </c>
      <c r="B452" s="72" t="s">
        <v>942</v>
      </c>
      <c r="C452" s="74">
        <v>2017</v>
      </c>
      <c r="D452" s="81">
        <v>251.33</v>
      </c>
      <c r="E452" s="72" t="s">
        <v>1958</v>
      </c>
      <c r="F452" s="76" t="s">
        <v>1959</v>
      </c>
      <c r="G452" s="72" t="s">
        <v>2176</v>
      </c>
      <c r="H452" s="72" t="s">
        <v>1905</v>
      </c>
      <c r="I452" s="72" t="s">
        <v>2384</v>
      </c>
      <c r="J452" s="89">
        <v>43.91</v>
      </c>
      <c r="K452" s="72" t="s">
        <v>2385</v>
      </c>
      <c r="L452" s="89">
        <v>8.19</v>
      </c>
      <c r="M452" s="78" t="s">
        <v>1824</v>
      </c>
      <c r="N452" s="78" t="s">
        <v>1825</v>
      </c>
      <c r="O452" s="78"/>
      <c r="P452" s="80">
        <v>251.33</v>
      </c>
    </row>
    <row r="453" spans="1:16" x14ac:dyDescent="0.3">
      <c r="A453" s="72" t="s">
        <v>302</v>
      </c>
      <c r="B453" s="72" t="s">
        <v>957</v>
      </c>
      <c r="C453" s="74">
        <v>2017</v>
      </c>
      <c r="D453" s="81">
        <v>107.91</v>
      </c>
      <c r="E453" s="72" t="s">
        <v>1958</v>
      </c>
      <c r="F453" s="76" t="s">
        <v>1959</v>
      </c>
      <c r="G453" s="72" t="s">
        <v>2167</v>
      </c>
      <c r="H453" s="72" t="s">
        <v>1905</v>
      </c>
      <c r="I453" s="72" t="s">
        <v>2386</v>
      </c>
      <c r="J453" s="89">
        <v>24.32</v>
      </c>
      <c r="K453" s="72" t="s">
        <v>2387</v>
      </c>
      <c r="L453" s="89">
        <v>4.55</v>
      </c>
      <c r="M453" s="78" t="s">
        <v>1824</v>
      </c>
      <c r="N453" s="78" t="s">
        <v>1825</v>
      </c>
      <c r="O453" s="78"/>
      <c r="P453" s="80">
        <v>107.91</v>
      </c>
    </row>
    <row r="454" spans="1:16" x14ac:dyDescent="0.3">
      <c r="A454" s="72" t="s">
        <v>55</v>
      </c>
      <c r="B454" s="72" t="s">
        <v>960</v>
      </c>
      <c r="C454" s="74">
        <v>2017</v>
      </c>
      <c r="D454" s="81">
        <v>158.09</v>
      </c>
      <c r="E454" s="72" t="s">
        <v>1958</v>
      </c>
      <c r="F454" s="76" t="s">
        <v>1959</v>
      </c>
      <c r="G454" s="72" t="s">
        <v>2167</v>
      </c>
      <c r="H454" s="72" t="s">
        <v>1905</v>
      </c>
      <c r="I454" s="72" t="s">
        <v>2388</v>
      </c>
      <c r="J454" s="89">
        <v>31.72</v>
      </c>
      <c r="K454" s="72" t="s">
        <v>2389</v>
      </c>
      <c r="L454" s="89">
        <v>5.72</v>
      </c>
      <c r="M454" s="78" t="s">
        <v>1824</v>
      </c>
      <c r="N454" s="78" t="s">
        <v>1825</v>
      </c>
      <c r="O454" s="78"/>
      <c r="P454" s="80">
        <v>158.09</v>
      </c>
    </row>
    <row r="455" spans="1:16" x14ac:dyDescent="0.3">
      <c r="A455" s="72" t="s">
        <v>369</v>
      </c>
      <c r="B455" s="72" t="s">
        <v>963</v>
      </c>
      <c r="C455" s="74">
        <v>2017</v>
      </c>
      <c r="D455" s="81">
        <v>126.14</v>
      </c>
      <c r="E455" s="72" t="s">
        <v>1958</v>
      </c>
      <c r="F455" s="76" t="s">
        <v>1959</v>
      </c>
      <c r="G455" s="72" t="s">
        <v>2167</v>
      </c>
      <c r="H455" s="72" t="s">
        <v>1905</v>
      </c>
      <c r="I455" s="72" t="s">
        <v>2390</v>
      </c>
      <c r="J455" s="89">
        <v>24.32</v>
      </c>
      <c r="K455" s="72" t="s">
        <v>2391</v>
      </c>
      <c r="L455" s="89">
        <v>6.97</v>
      </c>
      <c r="M455" s="78" t="s">
        <v>1824</v>
      </c>
      <c r="N455" s="78" t="s">
        <v>1825</v>
      </c>
      <c r="O455" s="78"/>
      <c r="P455" s="80">
        <v>126.14</v>
      </c>
    </row>
    <row r="456" spans="1:16" x14ac:dyDescent="0.3">
      <c r="A456" s="72" t="s">
        <v>359</v>
      </c>
      <c r="B456" s="72" t="s">
        <v>966</v>
      </c>
      <c r="C456" s="74">
        <v>2017</v>
      </c>
      <c r="D456" s="81">
        <v>176.35</v>
      </c>
      <c r="E456" s="72" t="s">
        <v>1958</v>
      </c>
      <c r="F456" s="76" t="s">
        <v>1959</v>
      </c>
      <c r="G456" s="72" t="s">
        <v>2167</v>
      </c>
      <c r="H456" s="72" t="s">
        <v>1905</v>
      </c>
      <c r="I456" s="72" t="s">
        <v>2392</v>
      </c>
      <c r="J456" s="89">
        <v>31.72</v>
      </c>
      <c r="K456" s="72" t="s">
        <v>2393</v>
      </c>
      <c r="L456" s="89">
        <v>8.1300000000000008</v>
      </c>
      <c r="M456" s="78" t="s">
        <v>1824</v>
      </c>
      <c r="N456" s="78" t="s">
        <v>1825</v>
      </c>
      <c r="O456" s="78"/>
      <c r="P456" s="80">
        <v>176.35</v>
      </c>
    </row>
    <row r="457" spans="1:16" x14ac:dyDescent="0.3">
      <c r="A457" s="72" t="s">
        <v>86</v>
      </c>
      <c r="B457" s="72" t="s">
        <v>981</v>
      </c>
      <c r="C457" s="74">
        <v>2017</v>
      </c>
      <c r="D457" s="81">
        <v>212.17</v>
      </c>
      <c r="E457" s="72" t="s">
        <v>1958</v>
      </c>
      <c r="F457" s="76" t="s">
        <v>1959</v>
      </c>
      <c r="G457" s="72" t="s">
        <v>2176</v>
      </c>
      <c r="H457" s="72" t="s">
        <v>1905</v>
      </c>
      <c r="I457" s="72" t="s">
        <v>2394</v>
      </c>
      <c r="J457" s="89">
        <v>24.32</v>
      </c>
      <c r="K457" s="72" t="s">
        <v>2395</v>
      </c>
      <c r="L457" s="89">
        <v>4.55</v>
      </c>
      <c r="M457" s="78" t="s">
        <v>1824</v>
      </c>
      <c r="N457" s="78" t="s">
        <v>1825</v>
      </c>
      <c r="O457" s="78"/>
      <c r="P457" s="80">
        <v>212.17</v>
      </c>
    </row>
    <row r="458" spans="1:16" x14ac:dyDescent="0.3">
      <c r="A458" s="72" t="s">
        <v>171</v>
      </c>
      <c r="B458" s="72" t="s">
        <v>984</v>
      </c>
      <c r="C458" s="74">
        <v>2017</v>
      </c>
      <c r="D458" s="81">
        <v>276.49</v>
      </c>
      <c r="E458" s="72" t="s">
        <v>1958</v>
      </c>
      <c r="F458" s="76" t="s">
        <v>1959</v>
      </c>
      <c r="G458" s="72" t="s">
        <v>2176</v>
      </c>
      <c r="H458" s="72" t="s">
        <v>1905</v>
      </c>
      <c r="I458" s="72" t="s">
        <v>2396</v>
      </c>
      <c r="J458" s="89">
        <v>31.72</v>
      </c>
      <c r="K458" s="72" t="s">
        <v>2397</v>
      </c>
      <c r="L458" s="89">
        <v>5.72</v>
      </c>
      <c r="M458" s="78" t="s">
        <v>1824</v>
      </c>
      <c r="N458" s="78" t="s">
        <v>1825</v>
      </c>
      <c r="O458" s="78"/>
      <c r="P458" s="80">
        <v>276.49</v>
      </c>
    </row>
    <row r="459" spans="1:16" x14ac:dyDescent="0.3">
      <c r="A459" s="72" t="s">
        <v>296</v>
      </c>
      <c r="B459" s="72" t="s">
        <v>987</v>
      </c>
      <c r="C459" s="74">
        <v>2017</v>
      </c>
      <c r="D459" s="81">
        <v>241.84</v>
      </c>
      <c r="E459" s="72" t="s">
        <v>1958</v>
      </c>
      <c r="F459" s="76" t="s">
        <v>1959</v>
      </c>
      <c r="G459" s="72" t="s">
        <v>2176</v>
      </c>
      <c r="H459" s="72" t="s">
        <v>1905</v>
      </c>
      <c r="I459" s="72" t="s">
        <v>2398</v>
      </c>
      <c r="J459" s="89">
        <v>24.32</v>
      </c>
      <c r="K459" s="72" t="s">
        <v>2399</v>
      </c>
      <c r="L459" s="89">
        <v>6.97</v>
      </c>
      <c r="M459" s="78" t="s">
        <v>1824</v>
      </c>
      <c r="N459" s="78" t="s">
        <v>1825</v>
      </c>
      <c r="O459" s="78"/>
      <c r="P459" s="80">
        <v>241.84</v>
      </c>
    </row>
    <row r="460" spans="1:16" x14ac:dyDescent="0.3">
      <c r="A460" s="72" t="s">
        <v>52</v>
      </c>
      <c r="B460" s="72" t="s">
        <v>990</v>
      </c>
      <c r="C460" s="74">
        <v>2017</v>
      </c>
      <c r="D460" s="81">
        <v>306.20999999999998</v>
      </c>
      <c r="E460" s="72" t="s">
        <v>1958</v>
      </c>
      <c r="F460" s="76" t="s">
        <v>1959</v>
      </c>
      <c r="G460" s="72" t="s">
        <v>2176</v>
      </c>
      <c r="H460" s="72" t="s">
        <v>1905</v>
      </c>
      <c r="I460" s="72" t="s">
        <v>2400</v>
      </c>
      <c r="J460" s="89">
        <v>31.72</v>
      </c>
      <c r="K460" s="72" t="s">
        <v>2401</v>
      </c>
      <c r="L460" s="89">
        <v>8.1300000000000008</v>
      </c>
      <c r="M460" s="78" t="s">
        <v>1824</v>
      </c>
      <c r="N460" s="78" t="s">
        <v>1825</v>
      </c>
      <c r="O460" s="78"/>
      <c r="P460" s="80">
        <v>306.20999999999998</v>
      </c>
    </row>
    <row r="461" spans="1:16" x14ac:dyDescent="0.3">
      <c r="A461" s="72" t="s">
        <v>168</v>
      </c>
      <c r="B461" s="72" t="s">
        <v>1005</v>
      </c>
      <c r="C461" s="74">
        <v>2017</v>
      </c>
      <c r="D461" s="81">
        <v>247.57</v>
      </c>
      <c r="E461" s="72" t="s">
        <v>1958</v>
      </c>
      <c r="F461" s="76" t="s">
        <v>1959</v>
      </c>
      <c r="G461" s="72" t="s">
        <v>2176</v>
      </c>
      <c r="H461" s="72" t="s">
        <v>1905</v>
      </c>
      <c r="I461" s="72" t="s">
        <v>2402</v>
      </c>
      <c r="J461" s="89">
        <v>22.81</v>
      </c>
      <c r="K461" s="72" t="s">
        <v>2403</v>
      </c>
      <c r="L461" s="89">
        <v>4.55</v>
      </c>
      <c r="M461" s="78" t="s">
        <v>1824</v>
      </c>
      <c r="N461" s="78" t="s">
        <v>1825</v>
      </c>
      <c r="O461" s="78"/>
      <c r="P461" s="80">
        <v>247.57</v>
      </c>
    </row>
    <row r="462" spans="1:16" x14ac:dyDescent="0.3">
      <c r="A462" s="72" t="s">
        <v>56</v>
      </c>
      <c r="B462" s="72" t="s">
        <v>1008</v>
      </c>
      <c r="C462" s="74">
        <v>2017</v>
      </c>
      <c r="D462" s="81">
        <v>321.37</v>
      </c>
      <c r="E462" s="72" t="s">
        <v>1958</v>
      </c>
      <c r="F462" s="76" t="s">
        <v>1959</v>
      </c>
      <c r="G462" s="72" t="s">
        <v>2176</v>
      </c>
      <c r="H462" s="72" t="s">
        <v>1905</v>
      </c>
      <c r="I462" s="72" t="s">
        <v>2404</v>
      </c>
      <c r="J462" s="89">
        <v>31.62</v>
      </c>
      <c r="K462" s="72" t="s">
        <v>2405</v>
      </c>
      <c r="L462" s="89">
        <v>5.72</v>
      </c>
      <c r="M462" s="78" t="s">
        <v>1824</v>
      </c>
      <c r="N462" s="78" t="s">
        <v>1825</v>
      </c>
      <c r="O462" s="78"/>
      <c r="P462" s="80">
        <v>321.37</v>
      </c>
    </row>
    <row r="463" spans="1:16" x14ac:dyDescent="0.3">
      <c r="A463" s="72" t="s">
        <v>311</v>
      </c>
      <c r="B463" s="72" t="s">
        <v>1011</v>
      </c>
      <c r="C463" s="74">
        <v>2017</v>
      </c>
      <c r="D463" s="81">
        <v>277.27</v>
      </c>
      <c r="E463" s="72" t="s">
        <v>1958</v>
      </c>
      <c r="F463" s="76" t="s">
        <v>1959</v>
      </c>
      <c r="G463" s="72" t="s">
        <v>2176</v>
      </c>
      <c r="H463" s="72" t="s">
        <v>1905</v>
      </c>
      <c r="I463" s="72" t="s">
        <v>2406</v>
      </c>
      <c r="J463" s="89">
        <v>26.89</v>
      </c>
      <c r="K463" s="72" t="s">
        <v>2407</v>
      </c>
      <c r="L463" s="89">
        <v>6.97</v>
      </c>
      <c r="M463" s="78" t="s">
        <v>1824</v>
      </c>
      <c r="N463" s="78" t="s">
        <v>1825</v>
      </c>
      <c r="O463" s="78"/>
      <c r="P463" s="80">
        <v>277.27</v>
      </c>
    </row>
    <row r="464" spans="1:16" x14ac:dyDescent="0.3">
      <c r="A464" s="72" t="s">
        <v>303</v>
      </c>
      <c r="B464" s="72" t="s">
        <v>1014</v>
      </c>
      <c r="C464" s="74">
        <v>2017</v>
      </c>
      <c r="D464" s="81">
        <v>351.08</v>
      </c>
      <c r="E464" s="72" t="s">
        <v>1958</v>
      </c>
      <c r="F464" s="76" t="s">
        <v>1959</v>
      </c>
      <c r="G464" s="72" t="s">
        <v>2176</v>
      </c>
      <c r="H464" s="72" t="s">
        <v>1905</v>
      </c>
      <c r="I464" s="72" t="s">
        <v>2408</v>
      </c>
      <c r="J464" s="89">
        <v>35.700000000000003</v>
      </c>
      <c r="K464" s="72" t="s">
        <v>2409</v>
      </c>
      <c r="L464" s="89">
        <v>8.1300000000000008</v>
      </c>
      <c r="M464" s="78" t="s">
        <v>1824</v>
      </c>
      <c r="N464" s="78" t="s">
        <v>1825</v>
      </c>
      <c r="O464" s="78"/>
      <c r="P464" s="80">
        <v>351.08</v>
      </c>
    </row>
    <row r="465" spans="1:16" x14ac:dyDescent="0.3">
      <c r="A465" s="72" t="s">
        <v>308</v>
      </c>
      <c r="B465" s="72" t="s">
        <v>1029</v>
      </c>
      <c r="C465" s="74">
        <v>2017</v>
      </c>
      <c r="D465" s="81">
        <v>158.52000000000001</v>
      </c>
      <c r="E465" s="72" t="s">
        <v>1958</v>
      </c>
      <c r="F465" s="76" t="s">
        <v>1959</v>
      </c>
      <c r="G465" s="72" t="s">
        <v>2176</v>
      </c>
      <c r="H465" s="72" t="s">
        <v>1905</v>
      </c>
      <c r="I465" s="72" t="s">
        <v>2410</v>
      </c>
      <c r="J465" s="89">
        <v>24.32</v>
      </c>
      <c r="K465" s="72" t="s">
        <v>2411</v>
      </c>
      <c r="L465" s="89">
        <v>4.55</v>
      </c>
      <c r="M465" s="78" t="s">
        <v>1824</v>
      </c>
      <c r="N465" s="78" t="s">
        <v>1825</v>
      </c>
      <c r="O465" s="78"/>
      <c r="P465" s="80">
        <v>158.52000000000001</v>
      </c>
    </row>
    <row r="466" spans="1:16" x14ac:dyDescent="0.3">
      <c r="A466" s="72" t="s">
        <v>330</v>
      </c>
      <c r="B466" s="72" t="s">
        <v>1032</v>
      </c>
      <c r="C466" s="74">
        <v>2017</v>
      </c>
      <c r="D466" s="81">
        <v>208.71</v>
      </c>
      <c r="E466" s="72" t="s">
        <v>1958</v>
      </c>
      <c r="F466" s="76" t="s">
        <v>1959</v>
      </c>
      <c r="G466" s="72" t="s">
        <v>2176</v>
      </c>
      <c r="H466" s="72" t="s">
        <v>1905</v>
      </c>
      <c r="I466" s="72" t="s">
        <v>2412</v>
      </c>
      <c r="J466" s="89">
        <v>31.72</v>
      </c>
      <c r="K466" s="72" t="s">
        <v>2413</v>
      </c>
      <c r="L466" s="89">
        <v>5.72</v>
      </c>
      <c r="M466" s="78" t="s">
        <v>1824</v>
      </c>
      <c r="N466" s="78" t="s">
        <v>1825</v>
      </c>
      <c r="O466" s="78"/>
      <c r="P466" s="80">
        <v>208.71</v>
      </c>
    </row>
    <row r="467" spans="1:16" x14ac:dyDescent="0.3">
      <c r="A467" s="72" t="s">
        <v>348</v>
      </c>
      <c r="B467" s="72" t="s">
        <v>1035</v>
      </c>
      <c r="C467" s="74">
        <v>2017</v>
      </c>
      <c r="D467" s="81">
        <v>188.23</v>
      </c>
      <c r="E467" s="72" t="s">
        <v>1958</v>
      </c>
      <c r="F467" s="76" t="s">
        <v>1959</v>
      </c>
      <c r="G467" s="72" t="s">
        <v>2176</v>
      </c>
      <c r="H467" s="72" t="s">
        <v>1905</v>
      </c>
      <c r="I467" s="72" t="s">
        <v>2414</v>
      </c>
      <c r="J467" s="89">
        <v>24.32</v>
      </c>
      <c r="K467" s="72" t="s">
        <v>2415</v>
      </c>
      <c r="L467" s="89">
        <v>6.97</v>
      </c>
      <c r="M467" s="78" t="s">
        <v>1824</v>
      </c>
      <c r="N467" s="78" t="s">
        <v>1825</v>
      </c>
      <c r="O467" s="78"/>
      <c r="P467" s="80">
        <v>188.23</v>
      </c>
    </row>
    <row r="468" spans="1:16" x14ac:dyDescent="0.3">
      <c r="A468" s="72" t="s">
        <v>71</v>
      </c>
      <c r="B468" s="72" t="s">
        <v>1038</v>
      </c>
      <c r="C468" s="74">
        <v>2017</v>
      </c>
      <c r="D468" s="81">
        <v>238.42</v>
      </c>
      <c r="E468" s="72" t="s">
        <v>1958</v>
      </c>
      <c r="F468" s="76" t="s">
        <v>1959</v>
      </c>
      <c r="G468" s="72" t="s">
        <v>2176</v>
      </c>
      <c r="H468" s="72" t="s">
        <v>1905</v>
      </c>
      <c r="I468" s="72" t="s">
        <v>2416</v>
      </c>
      <c r="J468" s="89">
        <v>31.72</v>
      </c>
      <c r="K468" s="72" t="s">
        <v>2417</v>
      </c>
      <c r="L468" s="89">
        <v>8.1300000000000008</v>
      </c>
      <c r="M468" s="78" t="s">
        <v>1824</v>
      </c>
      <c r="N468" s="78" t="s">
        <v>1825</v>
      </c>
      <c r="O468" s="78"/>
      <c r="P468" s="80">
        <v>238.42</v>
      </c>
    </row>
    <row r="469" spans="1:16" x14ac:dyDescent="0.3">
      <c r="A469" s="72" t="s">
        <v>117</v>
      </c>
      <c r="B469" s="72" t="s">
        <v>1053</v>
      </c>
      <c r="C469" s="74">
        <v>2017</v>
      </c>
      <c r="D469" s="81">
        <v>72.040000000000006</v>
      </c>
      <c r="E469" s="72" t="s">
        <v>1958</v>
      </c>
      <c r="F469" s="76" t="s">
        <v>1959</v>
      </c>
      <c r="G469" s="72" t="s">
        <v>2167</v>
      </c>
      <c r="H469" s="72" t="s">
        <v>1905</v>
      </c>
      <c r="I469" s="72" t="s">
        <v>2418</v>
      </c>
      <c r="J469" s="89">
        <v>24.32</v>
      </c>
      <c r="K469" s="72" t="s">
        <v>2419</v>
      </c>
      <c r="L469" s="89">
        <v>4.55</v>
      </c>
      <c r="M469" s="78" t="s">
        <v>1824</v>
      </c>
      <c r="N469" s="78" t="s">
        <v>1825</v>
      </c>
      <c r="O469" s="78"/>
      <c r="P469" s="80">
        <v>72.040000000000006</v>
      </c>
    </row>
    <row r="470" spans="1:16" x14ac:dyDescent="0.3">
      <c r="A470" s="72" t="s">
        <v>293</v>
      </c>
      <c r="B470" s="72" t="s">
        <v>1056</v>
      </c>
      <c r="C470" s="74">
        <v>2017</v>
      </c>
      <c r="D470" s="81">
        <v>113.87</v>
      </c>
      <c r="E470" s="72" t="s">
        <v>1958</v>
      </c>
      <c r="F470" s="76" t="s">
        <v>1959</v>
      </c>
      <c r="G470" s="72" t="s">
        <v>2167</v>
      </c>
      <c r="H470" s="72" t="s">
        <v>1905</v>
      </c>
      <c r="I470" s="72" t="s">
        <v>2420</v>
      </c>
      <c r="J470" s="89">
        <v>31.72</v>
      </c>
      <c r="K470" s="72" t="s">
        <v>2421</v>
      </c>
      <c r="L470" s="89">
        <v>5.72</v>
      </c>
      <c r="M470" s="78" t="s">
        <v>1824</v>
      </c>
      <c r="N470" s="78" t="s">
        <v>1825</v>
      </c>
      <c r="O470" s="78"/>
      <c r="P470" s="80">
        <v>113.87</v>
      </c>
    </row>
    <row r="471" spans="1:16" x14ac:dyDescent="0.3">
      <c r="A471" s="72" t="s">
        <v>96</v>
      </c>
      <c r="B471" s="72" t="s">
        <v>1065</v>
      </c>
      <c r="C471" s="74">
        <v>2017</v>
      </c>
      <c r="D471" s="81">
        <v>107.4</v>
      </c>
      <c r="E471" s="72" t="s">
        <v>1958</v>
      </c>
      <c r="F471" s="76" t="s">
        <v>1959</v>
      </c>
      <c r="G471" s="72" t="s">
        <v>2176</v>
      </c>
      <c r="H471" s="72" t="s">
        <v>1905</v>
      </c>
      <c r="I471" s="72" t="s">
        <v>2422</v>
      </c>
      <c r="J471" s="89">
        <v>24.32</v>
      </c>
      <c r="K471" s="72" t="s">
        <v>2423</v>
      </c>
      <c r="L471" s="89">
        <v>4.55</v>
      </c>
      <c r="M471" s="78" t="s">
        <v>1824</v>
      </c>
      <c r="N471" s="78" t="s">
        <v>1825</v>
      </c>
      <c r="O471" s="78"/>
      <c r="P471" s="80">
        <v>107.4</v>
      </c>
    </row>
    <row r="472" spans="1:16" x14ac:dyDescent="0.3">
      <c r="A472" s="72" t="s">
        <v>87</v>
      </c>
      <c r="B472" s="72" t="s">
        <v>1068</v>
      </c>
      <c r="C472" s="74">
        <v>2017</v>
      </c>
      <c r="D472" s="81">
        <v>142.27000000000001</v>
      </c>
      <c r="E472" s="72" t="s">
        <v>1958</v>
      </c>
      <c r="F472" s="76" t="s">
        <v>1959</v>
      </c>
      <c r="G472" s="72" t="s">
        <v>2176</v>
      </c>
      <c r="H472" s="72" t="s">
        <v>1905</v>
      </c>
      <c r="I472" s="72" t="s">
        <v>2424</v>
      </c>
      <c r="J472" s="89">
        <v>31.72</v>
      </c>
      <c r="K472" s="72" t="s">
        <v>2425</v>
      </c>
      <c r="L472" s="89">
        <v>5.72</v>
      </c>
      <c r="M472" s="78" t="s">
        <v>1824</v>
      </c>
      <c r="N472" s="78" t="s">
        <v>1825</v>
      </c>
      <c r="O472" s="78"/>
      <c r="P472" s="80">
        <v>142.27000000000001</v>
      </c>
    </row>
    <row r="473" spans="1:16" x14ac:dyDescent="0.3">
      <c r="A473" s="72" t="s">
        <v>361</v>
      </c>
      <c r="B473" s="72" t="s">
        <v>1077</v>
      </c>
      <c r="C473" s="74">
        <v>2017</v>
      </c>
      <c r="D473" s="81">
        <v>131.62</v>
      </c>
      <c r="E473" s="72" t="s">
        <v>1958</v>
      </c>
      <c r="F473" s="76" t="s">
        <v>1959</v>
      </c>
      <c r="G473" s="72" t="s">
        <v>2176</v>
      </c>
      <c r="H473" s="72" t="s">
        <v>1905</v>
      </c>
      <c r="I473" s="72" t="s">
        <v>2426</v>
      </c>
      <c r="J473" s="89">
        <v>24.32</v>
      </c>
      <c r="K473" s="72" t="s">
        <v>2427</v>
      </c>
      <c r="L473" s="89">
        <v>4.55</v>
      </c>
      <c r="M473" s="78" t="s">
        <v>1824</v>
      </c>
      <c r="N473" s="78" t="s">
        <v>1825</v>
      </c>
      <c r="O473" s="78"/>
      <c r="P473" s="80">
        <v>131.62</v>
      </c>
    </row>
    <row r="474" spans="1:16" x14ac:dyDescent="0.3">
      <c r="A474" s="72" t="s">
        <v>172</v>
      </c>
      <c r="B474" s="72" t="s">
        <v>1080</v>
      </c>
      <c r="C474" s="74">
        <v>2017</v>
      </c>
      <c r="D474" s="81">
        <v>166.5</v>
      </c>
      <c r="E474" s="72" t="s">
        <v>1958</v>
      </c>
      <c r="F474" s="76" t="s">
        <v>1959</v>
      </c>
      <c r="G474" s="72" t="s">
        <v>2176</v>
      </c>
      <c r="H474" s="72" t="s">
        <v>1905</v>
      </c>
      <c r="I474" s="72" t="s">
        <v>2428</v>
      </c>
      <c r="J474" s="89">
        <v>31.72</v>
      </c>
      <c r="K474" s="72" t="s">
        <v>2429</v>
      </c>
      <c r="L474" s="89">
        <v>5.72</v>
      </c>
      <c r="M474" s="78" t="s">
        <v>1824</v>
      </c>
      <c r="N474" s="78" t="s">
        <v>1825</v>
      </c>
      <c r="O474" s="78"/>
      <c r="P474" s="80">
        <v>166.5</v>
      </c>
    </row>
    <row r="475" spans="1:16" x14ac:dyDescent="0.3">
      <c r="A475" s="72" t="s">
        <v>379</v>
      </c>
      <c r="B475" s="72" t="s">
        <v>1083</v>
      </c>
      <c r="C475" s="74">
        <v>2017</v>
      </c>
      <c r="D475" s="81">
        <v>152.19</v>
      </c>
      <c r="E475" s="72" t="s">
        <v>1958</v>
      </c>
      <c r="F475" s="76" t="s">
        <v>1959</v>
      </c>
      <c r="G475" s="72" t="s">
        <v>2176</v>
      </c>
      <c r="H475" s="72" t="s">
        <v>1905</v>
      </c>
      <c r="I475" s="72" t="s">
        <v>2430</v>
      </c>
      <c r="J475" s="89">
        <v>24.32</v>
      </c>
      <c r="K475" s="72" t="s">
        <v>2431</v>
      </c>
      <c r="L475" s="89">
        <v>6.97</v>
      </c>
      <c r="M475" s="78" t="s">
        <v>1824</v>
      </c>
      <c r="N475" s="78" t="s">
        <v>1825</v>
      </c>
      <c r="O475" s="78"/>
      <c r="P475" s="80">
        <v>152.19</v>
      </c>
    </row>
    <row r="476" spans="1:16" x14ac:dyDescent="0.3">
      <c r="A476" s="72" t="s">
        <v>77</v>
      </c>
      <c r="B476" s="72" t="s">
        <v>1086</v>
      </c>
      <c r="C476" s="74">
        <v>2017</v>
      </c>
      <c r="D476" s="81">
        <v>187.07</v>
      </c>
      <c r="E476" s="72" t="s">
        <v>1958</v>
      </c>
      <c r="F476" s="76" t="s">
        <v>1959</v>
      </c>
      <c r="G476" s="72" t="s">
        <v>2176</v>
      </c>
      <c r="H476" s="72" t="s">
        <v>1905</v>
      </c>
      <c r="I476" s="72" t="s">
        <v>2432</v>
      </c>
      <c r="J476" s="89">
        <v>31.72</v>
      </c>
      <c r="K476" s="72" t="s">
        <v>2433</v>
      </c>
      <c r="L476" s="89">
        <v>8.1300000000000008</v>
      </c>
      <c r="M476" s="78" t="s">
        <v>1824</v>
      </c>
      <c r="N476" s="78" t="s">
        <v>1825</v>
      </c>
      <c r="O476" s="78"/>
      <c r="P476" s="80">
        <v>187.07</v>
      </c>
    </row>
    <row r="477" spans="1:16" x14ac:dyDescent="0.3">
      <c r="A477" s="72" t="s">
        <v>232</v>
      </c>
      <c r="B477" s="72" t="s">
        <v>1101</v>
      </c>
      <c r="C477" s="74">
        <v>2017</v>
      </c>
      <c r="D477" s="81">
        <v>167.3</v>
      </c>
      <c r="E477" s="72" t="s">
        <v>1958</v>
      </c>
      <c r="F477" s="76" t="s">
        <v>1959</v>
      </c>
      <c r="G477" s="72" t="s">
        <v>2176</v>
      </c>
      <c r="H477" s="72" t="s">
        <v>1905</v>
      </c>
      <c r="I477" s="72" t="s">
        <v>2434</v>
      </c>
      <c r="J477" s="89">
        <v>24.74</v>
      </c>
      <c r="K477" s="72" t="s">
        <v>2435</v>
      </c>
      <c r="L477" s="89">
        <v>4.55</v>
      </c>
      <c r="M477" s="78" t="s">
        <v>1824</v>
      </c>
      <c r="N477" s="78" t="s">
        <v>1825</v>
      </c>
      <c r="O477" s="78"/>
      <c r="P477" s="80">
        <v>167.3</v>
      </c>
    </row>
    <row r="478" spans="1:16" x14ac:dyDescent="0.3">
      <c r="A478" s="72" t="s">
        <v>218</v>
      </c>
      <c r="B478" s="72" t="s">
        <v>1104</v>
      </c>
      <c r="C478" s="74">
        <v>2017</v>
      </c>
      <c r="D478" s="81">
        <v>214.38</v>
      </c>
      <c r="E478" s="72" t="s">
        <v>1958</v>
      </c>
      <c r="F478" s="76" t="s">
        <v>1959</v>
      </c>
      <c r="G478" s="72" t="s">
        <v>2176</v>
      </c>
      <c r="H478" s="72" t="s">
        <v>1905</v>
      </c>
      <c r="I478" s="72" t="s">
        <v>2436</v>
      </c>
      <c r="J478" s="89">
        <v>33.549999999999997</v>
      </c>
      <c r="K478" s="72" t="s">
        <v>2437</v>
      </c>
      <c r="L478" s="89">
        <v>5.72</v>
      </c>
      <c r="M478" s="78" t="s">
        <v>1824</v>
      </c>
      <c r="N478" s="78" t="s">
        <v>1825</v>
      </c>
      <c r="O478" s="78"/>
      <c r="P478" s="80">
        <v>214.38</v>
      </c>
    </row>
    <row r="479" spans="1:16" x14ac:dyDescent="0.3">
      <c r="A479" s="72" t="s">
        <v>261</v>
      </c>
      <c r="B479" s="72" t="s">
        <v>1107</v>
      </c>
      <c r="C479" s="74">
        <v>2017</v>
      </c>
      <c r="D479" s="81">
        <v>191.66</v>
      </c>
      <c r="E479" s="72" t="s">
        <v>1958</v>
      </c>
      <c r="F479" s="76" t="s">
        <v>1959</v>
      </c>
      <c r="G479" s="72" t="s">
        <v>2176</v>
      </c>
      <c r="H479" s="72" t="s">
        <v>1905</v>
      </c>
      <c r="I479" s="72" t="s">
        <v>2438</v>
      </c>
      <c r="J479" s="89">
        <v>28.81</v>
      </c>
      <c r="K479" s="72" t="s">
        <v>2439</v>
      </c>
      <c r="L479" s="89">
        <v>6.97</v>
      </c>
      <c r="M479" s="78" t="s">
        <v>1824</v>
      </c>
      <c r="N479" s="78" t="s">
        <v>1825</v>
      </c>
      <c r="O479" s="78"/>
      <c r="P479" s="80">
        <v>191.66</v>
      </c>
    </row>
    <row r="480" spans="1:16" x14ac:dyDescent="0.3">
      <c r="A480" s="72" t="s">
        <v>208</v>
      </c>
      <c r="B480" s="72" t="s">
        <v>1110</v>
      </c>
      <c r="C480" s="74">
        <v>2017</v>
      </c>
      <c r="D480" s="81">
        <v>238.71</v>
      </c>
      <c r="E480" s="72" t="s">
        <v>1958</v>
      </c>
      <c r="F480" s="76" t="s">
        <v>1959</v>
      </c>
      <c r="G480" s="72" t="s">
        <v>2176</v>
      </c>
      <c r="H480" s="72" t="s">
        <v>1905</v>
      </c>
      <c r="I480" s="72" t="s">
        <v>2440</v>
      </c>
      <c r="J480" s="89">
        <v>37.619999999999997</v>
      </c>
      <c r="K480" s="72" t="s">
        <v>2441</v>
      </c>
      <c r="L480" s="89">
        <v>8.1300000000000008</v>
      </c>
      <c r="M480" s="78" t="s">
        <v>1824</v>
      </c>
      <c r="N480" s="78" t="s">
        <v>1825</v>
      </c>
      <c r="O480" s="78"/>
      <c r="P480" s="80">
        <v>238.71</v>
      </c>
    </row>
    <row r="481" spans="1:16" x14ac:dyDescent="0.3">
      <c r="A481" s="72" t="s">
        <v>215</v>
      </c>
      <c r="B481" s="72" t="s">
        <v>1125</v>
      </c>
      <c r="C481" s="74">
        <v>2017</v>
      </c>
      <c r="D481" s="81">
        <v>184.06</v>
      </c>
      <c r="E481" s="72" t="s">
        <v>1958</v>
      </c>
      <c r="F481" s="76" t="s">
        <v>1959</v>
      </c>
      <c r="G481" s="72" t="s">
        <v>2176</v>
      </c>
      <c r="H481" s="72" t="s">
        <v>1905</v>
      </c>
      <c r="I481" s="72" t="s">
        <v>2442</v>
      </c>
      <c r="J481" s="89">
        <v>29.91</v>
      </c>
      <c r="K481" s="72" t="s">
        <v>2443</v>
      </c>
      <c r="L481" s="89">
        <v>4.55</v>
      </c>
      <c r="M481" s="78" t="s">
        <v>1824</v>
      </c>
      <c r="N481" s="78" t="s">
        <v>1825</v>
      </c>
      <c r="O481" s="78"/>
      <c r="P481" s="80">
        <v>184.06</v>
      </c>
    </row>
    <row r="482" spans="1:16" x14ac:dyDescent="0.3">
      <c r="A482" s="72" t="s">
        <v>189</v>
      </c>
      <c r="B482" s="72" t="s">
        <v>1128</v>
      </c>
      <c r="C482" s="74">
        <v>2017</v>
      </c>
      <c r="D482" s="81">
        <v>231.12</v>
      </c>
      <c r="E482" s="72" t="s">
        <v>1958</v>
      </c>
      <c r="F482" s="76" t="s">
        <v>1959</v>
      </c>
      <c r="G482" s="72" t="s">
        <v>2176</v>
      </c>
      <c r="H482" s="72" t="s">
        <v>1905</v>
      </c>
      <c r="I482" s="72" t="s">
        <v>2444</v>
      </c>
      <c r="J482" s="89">
        <v>40.590000000000003</v>
      </c>
      <c r="K482" s="72" t="s">
        <v>2445</v>
      </c>
      <c r="L482" s="89">
        <v>5.72</v>
      </c>
      <c r="M482" s="78" t="s">
        <v>1824</v>
      </c>
      <c r="N482" s="78" t="s">
        <v>1825</v>
      </c>
      <c r="O482" s="78"/>
      <c r="P482" s="80">
        <v>231.12</v>
      </c>
    </row>
    <row r="483" spans="1:16" x14ac:dyDescent="0.3">
      <c r="A483" s="72" t="s">
        <v>85</v>
      </c>
      <c r="B483" s="72" t="s">
        <v>1131</v>
      </c>
      <c r="C483" s="74">
        <v>2017</v>
      </c>
      <c r="D483" s="81">
        <v>212.67</v>
      </c>
      <c r="E483" s="72" t="s">
        <v>1958</v>
      </c>
      <c r="F483" s="76" t="s">
        <v>1959</v>
      </c>
      <c r="G483" s="72" t="s">
        <v>2176</v>
      </c>
      <c r="H483" s="72" t="s">
        <v>1905</v>
      </c>
      <c r="I483" s="72" t="s">
        <v>2446</v>
      </c>
      <c r="J483" s="89">
        <v>33.979999999999997</v>
      </c>
      <c r="K483" s="72" t="s">
        <v>2447</v>
      </c>
      <c r="L483" s="89">
        <v>6.97</v>
      </c>
      <c r="M483" s="78" t="s">
        <v>1824</v>
      </c>
      <c r="N483" s="78" t="s">
        <v>1825</v>
      </c>
      <c r="O483" s="78"/>
      <c r="P483" s="80">
        <v>212.67</v>
      </c>
    </row>
    <row r="484" spans="1:16" x14ac:dyDescent="0.3">
      <c r="A484" s="72" t="s">
        <v>239</v>
      </c>
      <c r="B484" s="72" t="s">
        <v>1134</v>
      </c>
      <c r="C484" s="74">
        <v>2017</v>
      </c>
      <c r="D484" s="81">
        <v>259.7</v>
      </c>
      <c r="E484" s="72" t="s">
        <v>1958</v>
      </c>
      <c r="F484" s="76" t="s">
        <v>1959</v>
      </c>
      <c r="G484" s="72" t="s">
        <v>2176</v>
      </c>
      <c r="H484" s="72" t="s">
        <v>1905</v>
      </c>
      <c r="I484" s="72" t="s">
        <v>2448</v>
      </c>
      <c r="J484" s="89">
        <v>44.66</v>
      </c>
      <c r="K484" s="72" t="s">
        <v>2449</v>
      </c>
      <c r="L484" s="89">
        <v>8.1300000000000008</v>
      </c>
      <c r="M484" s="78" t="s">
        <v>1824</v>
      </c>
      <c r="N484" s="78" t="s">
        <v>1825</v>
      </c>
      <c r="O484" s="78"/>
      <c r="P484" s="80">
        <v>259.7</v>
      </c>
    </row>
    <row r="485" spans="1:16" x14ac:dyDescent="0.3">
      <c r="A485" s="72" t="s">
        <v>2450</v>
      </c>
      <c r="B485" s="72" t="s">
        <v>2451</v>
      </c>
      <c r="C485" s="74">
        <v>2017</v>
      </c>
      <c r="D485" s="81">
        <v>8.5299999999999994</v>
      </c>
      <c r="E485" s="72" t="s">
        <v>1958</v>
      </c>
      <c r="F485" s="76" t="s">
        <v>1959</v>
      </c>
      <c r="G485" s="72" t="s">
        <v>2099</v>
      </c>
      <c r="H485" s="72" t="s">
        <v>1905</v>
      </c>
      <c r="I485" s="72" t="s">
        <v>1893</v>
      </c>
      <c r="J485" s="77" t="s">
        <v>1893</v>
      </c>
      <c r="K485" s="77"/>
      <c r="L485" s="77"/>
      <c r="M485" s="78" t="s">
        <v>1824</v>
      </c>
      <c r="N485" s="78" t="s">
        <v>1825</v>
      </c>
      <c r="O485" s="90"/>
      <c r="P485" s="80">
        <v>8.5299999999999994</v>
      </c>
    </row>
    <row r="486" spans="1:16" x14ac:dyDescent="0.3">
      <c r="A486" s="72" t="s">
        <v>2452</v>
      </c>
      <c r="B486" s="72" t="s">
        <v>2453</v>
      </c>
      <c r="C486" s="74">
        <v>2017</v>
      </c>
      <c r="D486" s="81">
        <v>10.72</v>
      </c>
      <c r="E486" s="72" t="s">
        <v>1958</v>
      </c>
      <c r="F486" s="76" t="s">
        <v>1959</v>
      </c>
      <c r="G486" s="72" t="s">
        <v>2099</v>
      </c>
      <c r="H486" s="72" t="s">
        <v>1905</v>
      </c>
      <c r="I486" s="72" t="s">
        <v>1893</v>
      </c>
      <c r="J486" s="77" t="s">
        <v>1893</v>
      </c>
      <c r="K486" s="77"/>
      <c r="L486" s="77"/>
      <c r="M486" s="78" t="s">
        <v>1824</v>
      </c>
      <c r="N486" s="78" t="s">
        <v>1825</v>
      </c>
      <c r="O486" s="90"/>
      <c r="P486" s="80">
        <v>10.72</v>
      </c>
    </row>
    <row r="487" spans="1:16" x14ac:dyDescent="0.3">
      <c r="A487" s="72" t="s">
        <v>2454</v>
      </c>
      <c r="B487" s="72" t="s">
        <v>2455</v>
      </c>
      <c r="C487" s="74">
        <v>2017</v>
      </c>
      <c r="D487" s="81">
        <v>8.9700000000000006</v>
      </c>
      <c r="E487" s="72" t="s">
        <v>1958</v>
      </c>
      <c r="F487" s="76" t="s">
        <v>1959</v>
      </c>
      <c r="G487" s="72" t="s">
        <v>2099</v>
      </c>
      <c r="H487" s="72" t="s">
        <v>1905</v>
      </c>
      <c r="I487" s="72" t="s">
        <v>1893</v>
      </c>
      <c r="J487" s="77" t="s">
        <v>1893</v>
      </c>
      <c r="K487" s="77"/>
      <c r="L487" s="77"/>
      <c r="M487" s="78" t="s">
        <v>1824</v>
      </c>
      <c r="N487" s="78" t="s">
        <v>1825</v>
      </c>
      <c r="O487" s="90"/>
      <c r="P487" s="80">
        <v>8.9700000000000006</v>
      </c>
    </row>
    <row r="488" spans="1:16" x14ac:dyDescent="0.3">
      <c r="A488" s="72" t="s">
        <v>2456</v>
      </c>
      <c r="B488" s="72" t="s">
        <v>2457</v>
      </c>
      <c r="C488" s="74">
        <v>2017</v>
      </c>
      <c r="D488" s="81">
        <v>3.3</v>
      </c>
      <c r="E488" s="72" t="s">
        <v>1958</v>
      </c>
      <c r="F488" s="76" t="s">
        <v>1959</v>
      </c>
      <c r="G488" s="72" t="s">
        <v>2099</v>
      </c>
      <c r="H488" s="72" t="s">
        <v>1905</v>
      </c>
      <c r="I488" s="72" t="s">
        <v>1893</v>
      </c>
      <c r="J488" s="77" t="s">
        <v>1893</v>
      </c>
      <c r="K488" s="77"/>
      <c r="L488" s="77"/>
      <c r="M488" s="78" t="s">
        <v>1824</v>
      </c>
      <c r="N488" s="78" t="s">
        <v>1825</v>
      </c>
      <c r="O488" s="90"/>
      <c r="P488" s="80">
        <v>3.3</v>
      </c>
    </row>
    <row r="489" spans="1:16" x14ac:dyDescent="0.3">
      <c r="A489" s="72" t="s">
        <v>2458</v>
      </c>
      <c r="B489" s="72" t="s">
        <v>2459</v>
      </c>
      <c r="C489" s="74">
        <v>2017</v>
      </c>
      <c r="D489" s="81">
        <v>3.21</v>
      </c>
      <c r="E489" s="72" t="s">
        <v>1958</v>
      </c>
      <c r="F489" s="76" t="s">
        <v>1959</v>
      </c>
      <c r="G489" s="72" t="s">
        <v>2099</v>
      </c>
      <c r="H489" s="72" t="s">
        <v>1905</v>
      </c>
      <c r="I489" s="72" t="s">
        <v>1893</v>
      </c>
      <c r="J489" s="77" t="s">
        <v>1893</v>
      </c>
      <c r="K489" s="77"/>
      <c r="L489" s="77"/>
      <c r="M489" s="78" t="s">
        <v>1824</v>
      </c>
      <c r="N489" s="78" t="s">
        <v>1825</v>
      </c>
      <c r="O489" s="90"/>
      <c r="P489" s="80">
        <v>3.21</v>
      </c>
    </row>
    <row r="490" spans="1:16" x14ac:dyDescent="0.3">
      <c r="A490" s="72" t="s">
        <v>2460</v>
      </c>
      <c r="B490" s="72" t="s">
        <v>2461</v>
      </c>
      <c r="C490" s="74">
        <v>2017</v>
      </c>
      <c r="D490" s="81">
        <v>3.3</v>
      </c>
      <c r="E490" s="72" t="s">
        <v>1958</v>
      </c>
      <c r="F490" s="76" t="s">
        <v>1959</v>
      </c>
      <c r="G490" s="72" t="s">
        <v>2099</v>
      </c>
      <c r="H490" s="72" t="s">
        <v>1905</v>
      </c>
      <c r="I490" s="72" t="s">
        <v>1893</v>
      </c>
      <c r="J490" s="77" t="s">
        <v>1893</v>
      </c>
      <c r="K490" s="77"/>
      <c r="L490" s="77"/>
      <c r="M490" s="78" t="s">
        <v>1824</v>
      </c>
      <c r="N490" s="78" t="s">
        <v>1825</v>
      </c>
      <c r="O490" s="90"/>
      <c r="P490" s="80">
        <v>3.3</v>
      </c>
    </row>
    <row r="491" spans="1:16" x14ac:dyDescent="0.3">
      <c r="A491" s="72" t="s">
        <v>2462</v>
      </c>
      <c r="B491" s="72" t="s">
        <v>2463</v>
      </c>
      <c r="C491" s="74">
        <v>2017</v>
      </c>
      <c r="D491" s="81">
        <v>3.07</v>
      </c>
      <c r="E491" s="72" t="s">
        <v>1958</v>
      </c>
      <c r="F491" s="76" t="s">
        <v>1959</v>
      </c>
      <c r="G491" s="72" t="s">
        <v>2099</v>
      </c>
      <c r="H491" s="72" t="s">
        <v>1905</v>
      </c>
      <c r="I491" s="72" t="s">
        <v>1893</v>
      </c>
      <c r="J491" s="77" t="s">
        <v>1893</v>
      </c>
      <c r="K491" s="77"/>
      <c r="L491" s="77"/>
      <c r="M491" s="78" t="s">
        <v>1824</v>
      </c>
      <c r="N491" s="78" t="s">
        <v>1825</v>
      </c>
      <c r="O491" s="90"/>
      <c r="P491" s="80">
        <v>3.07</v>
      </c>
    </row>
    <row r="492" spans="1:16" x14ac:dyDescent="0.3">
      <c r="A492" s="72" t="s">
        <v>2464</v>
      </c>
      <c r="B492" s="72" t="s">
        <v>2465</v>
      </c>
      <c r="C492" s="74">
        <v>2017</v>
      </c>
      <c r="D492" s="81">
        <v>3.68</v>
      </c>
      <c r="E492" s="72" t="s">
        <v>1958</v>
      </c>
      <c r="F492" s="76" t="s">
        <v>1959</v>
      </c>
      <c r="G492" s="72" t="s">
        <v>2099</v>
      </c>
      <c r="H492" s="72" t="s">
        <v>1905</v>
      </c>
      <c r="I492" s="72" t="s">
        <v>1893</v>
      </c>
      <c r="J492" s="77" t="s">
        <v>1893</v>
      </c>
      <c r="K492" s="77"/>
      <c r="L492" s="77"/>
      <c r="M492" s="78" t="s">
        <v>1824</v>
      </c>
      <c r="N492" s="78" t="s">
        <v>1825</v>
      </c>
      <c r="O492" s="90"/>
      <c r="P492" s="80">
        <v>3.68</v>
      </c>
    </row>
    <row r="493" spans="1:16" x14ac:dyDescent="0.3">
      <c r="A493" s="72" t="s">
        <v>2466</v>
      </c>
      <c r="B493" s="72" t="s">
        <v>2467</v>
      </c>
      <c r="C493" s="74">
        <v>2017</v>
      </c>
      <c r="D493" s="81">
        <v>2.91</v>
      </c>
      <c r="E493" s="72" t="s">
        <v>1958</v>
      </c>
      <c r="F493" s="76" t="s">
        <v>1959</v>
      </c>
      <c r="G493" s="72" t="s">
        <v>2099</v>
      </c>
      <c r="H493" s="72" t="s">
        <v>1905</v>
      </c>
      <c r="I493" s="72" t="s">
        <v>1893</v>
      </c>
      <c r="J493" s="77" t="s">
        <v>1893</v>
      </c>
      <c r="K493" s="77"/>
      <c r="L493" s="77"/>
      <c r="M493" s="78" t="s">
        <v>1824</v>
      </c>
      <c r="N493" s="78" t="s">
        <v>1825</v>
      </c>
      <c r="O493" s="90"/>
      <c r="P493" s="80">
        <v>2.91</v>
      </c>
    </row>
    <row r="494" spans="1:16" x14ac:dyDescent="0.3">
      <c r="A494" s="72" t="s">
        <v>2468</v>
      </c>
      <c r="B494" s="72" t="s">
        <v>2469</v>
      </c>
      <c r="C494" s="74">
        <v>2017</v>
      </c>
      <c r="D494" s="81">
        <v>3.68</v>
      </c>
      <c r="E494" s="72" t="s">
        <v>1958</v>
      </c>
      <c r="F494" s="76" t="s">
        <v>1959</v>
      </c>
      <c r="G494" s="72" t="s">
        <v>2099</v>
      </c>
      <c r="H494" s="72" t="s">
        <v>1905</v>
      </c>
      <c r="I494" s="72" t="s">
        <v>1893</v>
      </c>
      <c r="J494" s="77" t="s">
        <v>1893</v>
      </c>
      <c r="K494" s="77"/>
      <c r="L494" s="77"/>
      <c r="M494" s="78" t="s">
        <v>1824</v>
      </c>
      <c r="N494" s="78" t="s">
        <v>1825</v>
      </c>
      <c r="O494" s="90"/>
      <c r="P494" s="80">
        <v>3.68</v>
      </c>
    </row>
    <row r="495" spans="1:16" x14ac:dyDescent="0.3">
      <c r="A495" s="72" t="s">
        <v>2470</v>
      </c>
      <c r="B495" s="72" t="s">
        <v>2471</v>
      </c>
      <c r="C495" s="74">
        <v>2017</v>
      </c>
      <c r="D495" s="81">
        <v>1.39</v>
      </c>
      <c r="E495" s="72" t="s">
        <v>1958</v>
      </c>
      <c r="F495" s="76" t="s">
        <v>1959</v>
      </c>
      <c r="G495" s="72" t="s">
        <v>2472</v>
      </c>
      <c r="H495" s="72" t="s">
        <v>1905</v>
      </c>
      <c r="I495" s="72" t="s">
        <v>1893</v>
      </c>
      <c r="J495" s="77" t="s">
        <v>1893</v>
      </c>
      <c r="K495" s="77"/>
      <c r="L495" s="77"/>
      <c r="M495" s="78" t="s">
        <v>1824</v>
      </c>
      <c r="N495" s="78" t="s">
        <v>1825</v>
      </c>
      <c r="O495" s="90"/>
      <c r="P495" s="80">
        <v>1.39</v>
      </c>
    </row>
    <row r="496" spans="1:16" x14ac:dyDescent="0.3">
      <c r="A496" s="72" t="s">
        <v>2473</v>
      </c>
      <c r="B496" s="72" t="s">
        <v>2474</v>
      </c>
      <c r="C496" s="74">
        <v>2017</v>
      </c>
      <c r="D496" s="81">
        <v>1.42</v>
      </c>
      <c r="E496" s="72" t="s">
        <v>1958</v>
      </c>
      <c r="F496" s="76" t="s">
        <v>1959</v>
      </c>
      <c r="G496" s="72" t="s">
        <v>2472</v>
      </c>
      <c r="H496" s="72" t="s">
        <v>1905</v>
      </c>
      <c r="I496" s="72" t="s">
        <v>1893</v>
      </c>
      <c r="J496" s="77" t="s">
        <v>1893</v>
      </c>
      <c r="K496" s="77"/>
      <c r="L496" s="77"/>
      <c r="M496" s="78" t="s">
        <v>1824</v>
      </c>
      <c r="N496" s="78" t="s">
        <v>1825</v>
      </c>
      <c r="O496" s="90"/>
      <c r="P496" s="80">
        <v>1.42</v>
      </c>
    </row>
    <row r="497" spans="1:16" x14ac:dyDescent="0.3">
      <c r="A497" s="72" t="s">
        <v>2475</v>
      </c>
      <c r="B497" s="72" t="s">
        <v>2476</v>
      </c>
      <c r="C497" s="74">
        <v>2017</v>
      </c>
      <c r="D497" s="81">
        <v>1.86</v>
      </c>
      <c r="E497" s="72" t="s">
        <v>1958</v>
      </c>
      <c r="F497" s="76" t="s">
        <v>1959</v>
      </c>
      <c r="G497" s="72" t="s">
        <v>2472</v>
      </c>
      <c r="H497" s="72" t="s">
        <v>1905</v>
      </c>
      <c r="I497" s="72" t="s">
        <v>1893</v>
      </c>
      <c r="J497" s="77" t="s">
        <v>1893</v>
      </c>
      <c r="K497" s="77"/>
      <c r="L497" s="77"/>
      <c r="M497" s="78" t="s">
        <v>1824</v>
      </c>
      <c r="N497" s="78" t="s">
        <v>1825</v>
      </c>
      <c r="O497" s="90"/>
      <c r="P497" s="80">
        <v>1.86</v>
      </c>
    </row>
    <row r="498" spans="1:16" ht="41.4" x14ac:dyDescent="0.3">
      <c r="A498" s="72" t="s">
        <v>2477</v>
      </c>
      <c r="B498" s="91" t="s">
        <v>2478</v>
      </c>
      <c r="C498" s="74">
        <v>2017</v>
      </c>
      <c r="D498" s="81">
        <v>0.89</v>
      </c>
      <c r="E498" s="72" t="s">
        <v>1958</v>
      </c>
      <c r="F498" s="76" t="s">
        <v>1959</v>
      </c>
      <c r="G498" s="72" t="s">
        <v>2472</v>
      </c>
      <c r="H498" s="72" t="s">
        <v>1905</v>
      </c>
      <c r="I498" s="72" t="s">
        <v>1893</v>
      </c>
      <c r="J498" s="77" t="s">
        <v>1893</v>
      </c>
      <c r="K498" s="77"/>
      <c r="L498" s="77"/>
      <c r="M498" s="78" t="s">
        <v>1824</v>
      </c>
      <c r="N498" s="78" t="s">
        <v>1825</v>
      </c>
      <c r="O498" s="90"/>
      <c r="P498" s="80">
        <v>0.89</v>
      </c>
    </row>
    <row r="499" spans="1:16" ht="41.4" x14ac:dyDescent="0.3">
      <c r="A499" s="72" t="s">
        <v>2479</v>
      </c>
      <c r="B499" s="91" t="s">
        <v>2480</v>
      </c>
      <c r="C499" s="74">
        <v>2017</v>
      </c>
      <c r="D499" s="81">
        <v>0.87</v>
      </c>
      <c r="E499" s="72" t="s">
        <v>1958</v>
      </c>
      <c r="F499" s="76" t="s">
        <v>1959</v>
      </c>
      <c r="G499" s="72" t="s">
        <v>2472</v>
      </c>
      <c r="H499" s="72" t="s">
        <v>1905</v>
      </c>
      <c r="I499" s="72" t="s">
        <v>1893</v>
      </c>
      <c r="J499" s="77" t="s">
        <v>1893</v>
      </c>
      <c r="K499" s="77"/>
      <c r="L499" s="77"/>
      <c r="M499" s="78" t="s">
        <v>1824</v>
      </c>
      <c r="N499" s="78" t="s">
        <v>1825</v>
      </c>
      <c r="O499" s="90"/>
      <c r="P499" s="80">
        <v>0.87</v>
      </c>
    </row>
    <row r="500" spans="1:16" ht="41.4" x14ac:dyDescent="0.3">
      <c r="A500" s="72" t="s">
        <v>2481</v>
      </c>
      <c r="B500" s="91" t="s">
        <v>2482</v>
      </c>
      <c r="C500" s="74">
        <v>2017</v>
      </c>
      <c r="D500" s="81">
        <v>0.89</v>
      </c>
      <c r="E500" s="72" t="s">
        <v>1958</v>
      </c>
      <c r="F500" s="76" t="s">
        <v>1959</v>
      </c>
      <c r="G500" s="72" t="s">
        <v>2472</v>
      </c>
      <c r="H500" s="72" t="s">
        <v>1905</v>
      </c>
      <c r="I500" s="72" t="s">
        <v>1893</v>
      </c>
      <c r="J500" s="77" t="s">
        <v>1893</v>
      </c>
      <c r="K500" s="77"/>
      <c r="L500" s="77"/>
      <c r="M500" s="78" t="s">
        <v>1824</v>
      </c>
      <c r="N500" s="78" t="s">
        <v>1825</v>
      </c>
      <c r="O500" s="90"/>
      <c r="P500" s="80">
        <v>0.89</v>
      </c>
    </row>
    <row r="501" spans="1:16" ht="41.4" x14ac:dyDescent="0.3">
      <c r="A501" s="72" t="s">
        <v>2483</v>
      </c>
      <c r="B501" s="91" t="s">
        <v>2484</v>
      </c>
      <c r="C501" s="74">
        <v>2017</v>
      </c>
      <c r="D501" s="81">
        <v>0.83</v>
      </c>
      <c r="E501" s="72" t="s">
        <v>1958</v>
      </c>
      <c r="F501" s="76" t="s">
        <v>1959</v>
      </c>
      <c r="G501" s="72" t="s">
        <v>2472</v>
      </c>
      <c r="H501" s="72" t="s">
        <v>1905</v>
      </c>
      <c r="I501" s="72" t="s">
        <v>1893</v>
      </c>
      <c r="J501" s="77" t="s">
        <v>1893</v>
      </c>
      <c r="K501" s="77"/>
      <c r="L501" s="77"/>
      <c r="M501" s="78" t="s">
        <v>1824</v>
      </c>
      <c r="N501" s="78" t="s">
        <v>1825</v>
      </c>
      <c r="O501" s="90"/>
      <c r="P501" s="80">
        <v>0.83</v>
      </c>
    </row>
    <row r="502" spans="1:16" ht="41.4" x14ac:dyDescent="0.3">
      <c r="A502" s="72" t="s">
        <v>2485</v>
      </c>
      <c r="B502" s="91" t="s">
        <v>2486</v>
      </c>
      <c r="C502" s="74">
        <v>2017</v>
      </c>
      <c r="D502" s="81">
        <v>0.99</v>
      </c>
      <c r="E502" s="72" t="s">
        <v>1958</v>
      </c>
      <c r="F502" s="76" t="s">
        <v>1959</v>
      </c>
      <c r="G502" s="72" t="s">
        <v>2472</v>
      </c>
      <c r="H502" s="72" t="s">
        <v>1905</v>
      </c>
      <c r="I502" s="72" t="s">
        <v>1893</v>
      </c>
      <c r="J502" s="77" t="s">
        <v>1893</v>
      </c>
      <c r="K502" s="77"/>
      <c r="L502" s="77"/>
      <c r="M502" s="78" t="s">
        <v>1824</v>
      </c>
      <c r="N502" s="78" t="s">
        <v>1825</v>
      </c>
      <c r="O502" s="90"/>
      <c r="P502" s="80">
        <v>0.99</v>
      </c>
    </row>
    <row r="503" spans="1:16" ht="41.4" x14ac:dyDescent="0.3">
      <c r="A503" s="72" t="s">
        <v>2487</v>
      </c>
      <c r="B503" s="91" t="s">
        <v>2488</v>
      </c>
      <c r="C503" s="74">
        <v>2017</v>
      </c>
      <c r="D503" s="81">
        <v>0.79</v>
      </c>
      <c r="E503" s="72" t="s">
        <v>1958</v>
      </c>
      <c r="F503" s="76" t="s">
        <v>1959</v>
      </c>
      <c r="G503" s="72" t="s">
        <v>2472</v>
      </c>
      <c r="H503" s="72" t="s">
        <v>1905</v>
      </c>
      <c r="I503" s="72" t="s">
        <v>1893</v>
      </c>
      <c r="J503" s="77" t="s">
        <v>1893</v>
      </c>
      <c r="K503" s="77"/>
      <c r="L503" s="77"/>
      <c r="M503" s="78" t="s">
        <v>1824</v>
      </c>
      <c r="N503" s="78" t="s">
        <v>1825</v>
      </c>
      <c r="O503" s="90"/>
      <c r="P503" s="80">
        <v>0.79</v>
      </c>
    </row>
    <row r="504" spans="1:16" ht="41.4" x14ac:dyDescent="0.3">
      <c r="A504" s="72" t="s">
        <v>2489</v>
      </c>
      <c r="B504" s="91" t="s">
        <v>2490</v>
      </c>
      <c r="C504" s="74">
        <v>2017</v>
      </c>
      <c r="D504" s="81">
        <v>0.99</v>
      </c>
      <c r="E504" s="72" t="s">
        <v>1958</v>
      </c>
      <c r="F504" s="76" t="s">
        <v>1959</v>
      </c>
      <c r="G504" s="72" t="s">
        <v>2472</v>
      </c>
      <c r="H504" s="72" t="s">
        <v>1905</v>
      </c>
      <c r="I504" s="72" t="s">
        <v>1893</v>
      </c>
      <c r="J504" s="77" t="s">
        <v>1893</v>
      </c>
      <c r="K504" s="77"/>
      <c r="L504" s="77"/>
      <c r="M504" s="78" t="s">
        <v>1824</v>
      </c>
      <c r="N504" s="78" t="s">
        <v>1825</v>
      </c>
      <c r="O504" s="90"/>
      <c r="P504" s="80">
        <v>0.99</v>
      </c>
    </row>
    <row r="505" spans="1:16" x14ac:dyDescent="0.3">
      <c r="A505" s="72" t="s">
        <v>2491</v>
      </c>
      <c r="B505" s="72" t="s">
        <v>2060</v>
      </c>
      <c r="C505" s="74">
        <v>2017</v>
      </c>
      <c r="D505" s="81">
        <v>7.01</v>
      </c>
      <c r="E505" s="72" t="s">
        <v>1854</v>
      </c>
      <c r="F505" s="76" t="s">
        <v>1855</v>
      </c>
      <c r="G505" s="72" t="s">
        <v>2492</v>
      </c>
      <c r="H505" s="72" t="s">
        <v>1905</v>
      </c>
      <c r="I505" s="72" t="s">
        <v>1893</v>
      </c>
      <c r="J505" s="77" t="s">
        <v>1893</v>
      </c>
      <c r="K505" s="77"/>
      <c r="L505" s="77"/>
      <c r="M505" s="78" t="s">
        <v>1824</v>
      </c>
      <c r="N505" s="78" t="s">
        <v>1825</v>
      </c>
      <c r="O505" s="78"/>
      <c r="P505" s="80">
        <v>7.01</v>
      </c>
    </row>
    <row r="506" spans="1:16" x14ac:dyDescent="0.3">
      <c r="A506" s="72" t="s">
        <v>2493</v>
      </c>
      <c r="B506" s="72" t="s">
        <v>2494</v>
      </c>
      <c r="C506" s="74">
        <v>2017</v>
      </c>
      <c r="D506" s="81">
        <v>6.83</v>
      </c>
      <c r="E506" s="72" t="s">
        <v>1854</v>
      </c>
      <c r="F506" s="76" t="s">
        <v>1855</v>
      </c>
      <c r="G506" s="72" t="s">
        <v>2492</v>
      </c>
      <c r="H506" s="72" t="s">
        <v>1905</v>
      </c>
      <c r="I506" s="72" t="s">
        <v>1893</v>
      </c>
      <c r="J506" s="77" t="s">
        <v>1893</v>
      </c>
      <c r="K506" s="77"/>
      <c r="L506" s="77"/>
      <c r="M506" s="78" t="s">
        <v>1824</v>
      </c>
      <c r="N506" s="78" t="s">
        <v>1825</v>
      </c>
      <c r="O506" s="90"/>
      <c r="P506" s="80">
        <v>6.83</v>
      </c>
    </row>
    <row r="507" spans="1:16" x14ac:dyDescent="0.3">
      <c r="A507" s="72" t="s">
        <v>2495</v>
      </c>
      <c r="B507" s="72" t="s">
        <v>1952</v>
      </c>
      <c r="C507" s="74">
        <v>2017</v>
      </c>
      <c r="D507" s="81">
        <v>6.93</v>
      </c>
      <c r="E507" s="72" t="s">
        <v>1854</v>
      </c>
      <c r="F507" s="76" t="s">
        <v>1855</v>
      </c>
      <c r="G507" s="72" t="s">
        <v>2492</v>
      </c>
      <c r="H507" s="72" t="s">
        <v>1905</v>
      </c>
      <c r="I507" s="72" t="s">
        <v>1893</v>
      </c>
      <c r="J507" s="77" t="s">
        <v>1893</v>
      </c>
      <c r="K507" s="77"/>
      <c r="L507" s="77"/>
      <c r="M507" s="78" t="s">
        <v>1824</v>
      </c>
      <c r="N507" s="78" t="s">
        <v>1825</v>
      </c>
      <c r="O507" s="78"/>
      <c r="P507" s="80">
        <v>6.93</v>
      </c>
    </row>
    <row r="508" spans="1:16" x14ac:dyDescent="0.3">
      <c r="A508" s="72" t="s">
        <v>2496</v>
      </c>
      <c r="B508" s="72" t="s">
        <v>2064</v>
      </c>
      <c r="C508" s="74">
        <v>2017</v>
      </c>
      <c r="D508" s="81">
        <v>19.97</v>
      </c>
      <c r="E508" s="72" t="s">
        <v>1854</v>
      </c>
      <c r="F508" s="76" t="s">
        <v>1855</v>
      </c>
      <c r="G508" s="72" t="s">
        <v>2492</v>
      </c>
      <c r="H508" s="72" t="s">
        <v>1905</v>
      </c>
      <c r="I508" s="72" t="s">
        <v>1893</v>
      </c>
      <c r="J508" s="77" t="s">
        <v>1893</v>
      </c>
      <c r="K508" s="77"/>
      <c r="L508" s="77"/>
      <c r="M508" s="78" t="s">
        <v>1824</v>
      </c>
      <c r="N508" s="78" t="s">
        <v>1825</v>
      </c>
      <c r="O508" s="78"/>
      <c r="P508" s="80">
        <v>19.97</v>
      </c>
    </row>
    <row r="509" spans="1:16" x14ac:dyDescent="0.3">
      <c r="A509" s="72" t="s">
        <v>2497</v>
      </c>
      <c r="B509" s="72" t="s">
        <v>2498</v>
      </c>
      <c r="C509" s="74">
        <v>2017</v>
      </c>
      <c r="D509" s="81">
        <v>19.97</v>
      </c>
      <c r="E509" s="72" t="s">
        <v>1854</v>
      </c>
      <c r="F509" s="76" t="s">
        <v>1855</v>
      </c>
      <c r="G509" s="72" t="s">
        <v>2492</v>
      </c>
      <c r="H509" s="72" t="s">
        <v>1905</v>
      </c>
      <c r="I509" s="72" t="s">
        <v>1893</v>
      </c>
      <c r="J509" s="77" t="s">
        <v>1893</v>
      </c>
      <c r="K509" s="77"/>
      <c r="L509" s="77"/>
      <c r="M509" s="78" t="s">
        <v>1824</v>
      </c>
      <c r="N509" s="78" t="s">
        <v>1825</v>
      </c>
      <c r="O509" s="78"/>
      <c r="P509" s="80">
        <v>19.97</v>
      </c>
    </row>
    <row r="510" spans="1:16" x14ac:dyDescent="0.3">
      <c r="A510" s="72" t="s">
        <v>2499</v>
      </c>
      <c r="B510" s="72" t="s">
        <v>2500</v>
      </c>
      <c r="C510" s="74">
        <v>2017</v>
      </c>
      <c r="D510" s="81">
        <v>29.87</v>
      </c>
      <c r="E510" s="72" t="s">
        <v>1958</v>
      </c>
      <c r="F510" s="76" t="s">
        <v>1959</v>
      </c>
      <c r="G510" s="72" t="s">
        <v>2501</v>
      </c>
      <c r="H510" s="72" t="s">
        <v>1905</v>
      </c>
      <c r="I510" s="72" t="s">
        <v>1893</v>
      </c>
      <c r="J510" s="77" t="s">
        <v>1893</v>
      </c>
      <c r="K510" s="77"/>
      <c r="L510" s="77"/>
      <c r="M510" s="78" t="s">
        <v>1824</v>
      </c>
      <c r="N510" s="78" t="s">
        <v>1825</v>
      </c>
      <c r="O510" s="78"/>
      <c r="P510" s="80">
        <v>29.87</v>
      </c>
    </row>
    <row r="511" spans="1:16" x14ac:dyDescent="0.3">
      <c r="A511" s="72" t="s">
        <v>2502</v>
      </c>
      <c r="B511" s="72" t="s">
        <v>2503</v>
      </c>
      <c r="C511" s="74">
        <v>2017</v>
      </c>
      <c r="D511" s="81">
        <v>33.869999999999997</v>
      </c>
      <c r="E511" s="72" t="s">
        <v>1958</v>
      </c>
      <c r="F511" s="76" t="s">
        <v>1959</v>
      </c>
      <c r="G511" s="72" t="s">
        <v>2501</v>
      </c>
      <c r="H511" s="72" t="s">
        <v>1905</v>
      </c>
      <c r="I511" s="72" t="s">
        <v>1893</v>
      </c>
      <c r="J511" s="77" t="s">
        <v>1893</v>
      </c>
      <c r="K511" s="77"/>
      <c r="L511" s="77"/>
      <c r="M511" s="78" t="s">
        <v>1824</v>
      </c>
      <c r="N511" s="78" t="s">
        <v>1825</v>
      </c>
      <c r="O511" s="78"/>
      <c r="P511" s="80">
        <v>33.869999999999997</v>
      </c>
    </row>
    <row r="512" spans="1:16" x14ac:dyDescent="0.3">
      <c r="A512" s="72" t="s">
        <v>2504</v>
      </c>
      <c r="B512" s="72" t="s">
        <v>2505</v>
      </c>
      <c r="C512" s="74">
        <v>2017</v>
      </c>
      <c r="D512" s="81">
        <v>86.97</v>
      </c>
      <c r="E512" s="72" t="s">
        <v>1958</v>
      </c>
      <c r="F512" s="76" t="s">
        <v>1959</v>
      </c>
      <c r="G512" s="72" t="s">
        <v>2501</v>
      </c>
      <c r="H512" s="72" t="s">
        <v>1905</v>
      </c>
      <c r="I512" s="72" t="s">
        <v>1893</v>
      </c>
      <c r="J512" s="77" t="s">
        <v>1893</v>
      </c>
      <c r="K512" s="77"/>
      <c r="L512" s="77"/>
      <c r="M512" s="78" t="s">
        <v>1824</v>
      </c>
      <c r="N512" s="78" t="s">
        <v>1825</v>
      </c>
      <c r="O512" s="78"/>
      <c r="P512" s="80">
        <v>86.97</v>
      </c>
    </row>
    <row r="513" spans="1:16" x14ac:dyDescent="0.3">
      <c r="A513" s="72" t="s">
        <v>2506</v>
      </c>
      <c r="B513" s="72" t="s">
        <v>2070</v>
      </c>
      <c r="C513" s="74">
        <v>2017</v>
      </c>
      <c r="D513" s="81">
        <v>21.17</v>
      </c>
      <c r="E513" s="72" t="s">
        <v>1831</v>
      </c>
      <c r="F513" s="76" t="s">
        <v>1832</v>
      </c>
      <c r="G513" s="72" t="s">
        <v>2501</v>
      </c>
      <c r="H513" s="72" t="s">
        <v>1905</v>
      </c>
      <c r="I513" s="72" t="s">
        <v>1893</v>
      </c>
      <c r="J513" s="77" t="s">
        <v>1893</v>
      </c>
      <c r="K513" s="77"/>
      <c r="L513" s="77"/>
      <c r="M513" s="78" t="s">
        <v>1824</v>
      </c>
      <c r="N513" s="78" t="s">
        <v>1825</v>
      </c>
      <c r="O513" s="78"/>
      <c r="P513" s="80">
        <v>21.17</v>
      </c>
    </row>
    <row r="514" spans="1:16" x14ac:dyDescent="0.3">
      <c r="A514" s="72" t="s">
        <v>2507</v>
      </c>
      <c r="B514" s="72" t="s">
        <v>2072</v>
      </c>
      <c r="C514" s="74">
        <v>2017</v>
      </c>
      <c r="D514" s="81">
        <v>25.93</v>
      </c>
      <c r="E514" s="72" t="s">
        <v>1831</v>
      </c>
      <c r="F514" s="76" t="s">
        <v>1832</v>
      </c>
      <c r="G514" s="72" t="s">
        <v>2501</v>
      </c>
      <c r="H514" s="72" t="s">
        <v>1905</v>
      </c>
      <c r="I514" s="72" t="s">
        <v>1893</v>
      </c>
      <c r="J514" s="77" t="s">
        <v>1893</v>
      </c>
      <c r="K514" s="77"/>
      <c r="L514" s="77"/>
      <c r="M514" s="78" t="s">
        <v>1824</v>
      </c>
      <c r="N514" s="78" t="s">
        <v>1825</v>
      </c>
      <c r="O514" s="78"/>
      <c r="P514" s="80">
        <v>25.93</v>
      </c>
    </row>
    <row r="515" spans="1:16" x14ac:dyDescent="0.3">
      <c r="A515" s="72" t="s">
        <v>2508</v>
      </c>
      <c r="B515" s="72" t="s">
        <v>2074</v>
      </c>
      <c r="C515" s="74">
        <v>2017</v>
      </c>
      <c r="D515" s="81">
        <v>38.82</v>
      </c>
      <c r="E515" s="72" t="s">
        <v>1831</v>
      </c>
      <c r="F515" s="76" t="s">
        <v>1832</v>
      </c>
      <c r="G515" s="72" t="s">
        <v>2501</v>
      </c>
      <c r="H515" s="72" t="s">
        <v>1905</v>
      </c>
      <c r="I515" s="72" t="s">
        <v>1893</v>
      </c>
      <c r="J515" s="77" t="s">
        <v>1893</v>
      </c>
      <c r="K515" s="77"/>
      <c r="L515" s="77"/>
      <c r="M515" s="78" t="s">
        <v>1824</v>
      </c>
      <c r="N515" s="78" t="s">
        <v>1825</v>
      </c>
      <c r="O515" s="78"/>
      <c r="P515" s="80">
        <v>38.82</v>
      </c>
    </row>
    <row r="516" spans="1:16" x14ac:dyDescent="0.3">
      <c r="A516" s="72" t="s">
        <v>2509</v>
      </c>
      <c r="B516" s="72" t="s">
        <v>2510</v>
      </c>
      <c r="C516" s="74">
        <v>2017</v>
      </c>
      <c r="D516" s="81">
        <v>67.849999999999994</v>
      </c>
      <c r="E516" s="72" t="s">
        <v>1958</v>
      </c>
      <c r="F516" s="76" t="s">
        <v>1959</v>
      </c>
      <c r="G516" s="72" t="s">
        <v>2511</v>
      </c>
      <c r="H516" s="72" t="s">
        <v>1905</v>
      </c>
      <c r="I516" s="72" t="s">
        <v>2512</v>
      </c>
      <c r="J516" s="81">
        <v>26.11</v>
      </c>
      <c r="K516" s="72" t="s">
        <v>2513</v>
      </c>
      <c r="L516" s="81">
        <v>1.77</v>
      </c>
      <c r="M516" s="78" t="s">
        <v>1824</v>
      </c>
      <c r="N516" s="78" t="s">
        <v>1825</v>
      </c>
      <c r="O516" s="78"/>
      <c r="P516" s="80">
        <v>67.849999999999994</v>
      </c>
    </row>
    <row r="517" spans="1:16" x14ac:dyDescent="0.3">
      <c r="A517" s="72" t="s">
        <v>2514</v>
      </c>
      <c r="B517" s="72" t="s">
        <v>2515</v>
      </c>
      <c r="C517" s="74">
        <v>2017</v>
      </c>
      <c r="D517" s="81">
        <v>73.23</v>
      </c>
      <c r="E517" s="72" t="s">
        <v>1958</v>
      </c>
      <c r="F517" s="76" t="s">
        <v>1959</v>
      </c>
      <c r="G517" s="72" t="s">
        <v>2511</v>
      </c>
      <c r="H517" s="72" t="s">
        <v>1905</v>
      </c>
      <c r="I517" s="72" t="s">
        <v>2516</v>
      </c>
      <c r="J517" s="81">
        <v>26.11</v>
      </c>
      <c r="K517" s="72" t="s">
        <v>2517</v>
      </c>
      <c r="L517" s="81">
        <v>1.77</v>
      </c>
      <c r="M517" s="78" t="s">
        <v>1824</v>
      </c>
      <c r="N517" s="78" t="s">
        <v>1825</v>
      </c>
      <c r="O517" s="78"/>
      <c r="P517" s="80">
        <v>73.23</v>
      </c>
    </row>
    <row r="518" spans="1:16" x14ac:dyDescent="0.3">
      <c r="A518" s="72" t="s">
        <v>2518</v>
      </c>
      <c r="B518" s="72" t="s">
        <v>2076</v>
      </c>
      <c r="C518" s="74">
        <v>2017</v>
      </c>
      <c r="D518" s="81">
        <v>211.42</v>
      </c>
      <c r="E518" s="72" t="s">
        <v>1958</v>
      </c>
      <c r="F518" s="76" t="s">
        <v>1959</v>
      </c>
      <c r="G518" s="72" t="s">
        <v>2501</v>
      </c>
      <c r="H518" s="72" t="s">
        <v>1905</v>
      </c>
      <c r="I518" s="72" t="s">
        <v>1893</v>
      </c>
      <c r="J518" s="77" t="s">
        <v>1893</v>
      </c>
      <c r="K518" s="77"/>
      <c r="L518" s="77"/>
      <c r="M518" s="78" t="s">
        <v>1824</v>
      </c>
      <c r="N518" s="78" t="s">
        <v>1825</v>
      </c>
      <c r="O518" s="90"/>
      <c r="P518" s="80">
        <v>211.42</v>
      </c>
    </row>
    <row r="519" spans="1:16" x14ac:dyDescent="0.3">
      <c r="A519" s="72" t="s">
        <v>2519</v>
      </c>
      <c r="B519" s="72" t="s">
        <v>2520</v>
      </c>
      <c r="C519" s="74">
        <v>2017</v>
      </c>
      <c r="D519" s="81">
        <v>65.31</v>
      </c>
      <c r="E519" s="72" t="s">
        <v>1831</v>
      </c>
      <c r="F519" s="76" t="s">
        <v>1832</v>
      </c>
      <c r="G519" s="72" t="s">
        <v>2501</v>
      </c>
      <c r="H519" s="72" t="s">
        <v>1905</v>
      </c>
      <c r="I519" s="72" t="s">
        <v>1893</v>
      </c>
      <c r="J519" s="77" t="s">
        <v>1893</v>
      </c>
      <c r="K519" s="77"/>
      <c r="L519" s="77"/>
      <c r="M519" s="78" t="s">
        <v>1824</v>
      </c>
      <c r="N519" s="78" t="s">
        <v>1825</v>
      </c>
      <c r="O519" s="90"/>
      <c r="P519" s="80">
        <v>65.31</v>
      </c>
    </row>
    <row r="520" spans="1:16" x14ac:dyDescent="0.3">
      <c r="A520" s="72" t="s">
        <v>2521</v>
      </c>
      <c r="B520" s="72" t="s">
        <v>2080</v>
      </c>
      <c r="C520" s="74">
        <v>2017</v>
      </c>
      <c r="D520" s="81">
        <v>40.99</v>
      </c>
      <c r="E520" s="72" t="s">
        <v>1958</v>
      </c>
      <c r="F520" s="76" t="s">
        <v>1959</v>
      </c>
      <c r="G520" s="72" t="s">
        <v>2501</v>
      </c>
      <c r="H520" s="72" t="s">
        <v>1905</v>
      </c>
      <c r="I520" s="72" t="s">
        <v>1893</v>
      </c>
      <c r="J520" s="77" t="s">
        <v>1893</v>
      </c>
      <c r="K520" s="77"/>
      <c r="L520" s="77"/>
      <c r="M520" s="78" t="s">
        <v>1824</v>
      </c>
      <c r="N520" s="78" t="s">
        <v>1825</v>
      </c>
      <c r="O520" s="78"/>
      <c r="P520" s="80">
        <v>40.99</v>
      </c>
    </row>
    <row r="521" spans="1:16" x14ac:dyDescent="0.3">
      <c r="A521" s="72" t="s">
        <v>2522</v>
      </c>
      <c r="B521" s="72" t="s">
        <v>2523</v>
      </c>
      <c r="C521" s="74">
        <v>2017</v>
      </c>
      <c r="D521" s="81">
        <v>39.69</v>
      </c>
      <c r="E521" s="72" t="s">
        <v>1958</v>
      </c>
      <c r="F521" s="76" t="s">
        <v>1959</v>
      </c>
      <c r="G521" s="72" t="s">
        <v>2501</v>
      </c>
      <c r="H521" s="72" t="s">
        <v>1905</v>
      </c>
      <c r="I521" s="72" t="s">
        <v>1893</v>
      </c>
      <c r="J521" s="77" t="s">
        <v>1893</v>
      </c>
      <c r="K521" s="77"/>
      <c r="L521" s="77"/>
      <c r="M521" s="78" t="s">
        <v>1824</v>
      </c>
      <c r="N521" s="78" t="s">
        <v>1825</v>
      </c>
      <c r="O521" s="90"/>
      <c r="P521" s="80">
        <v>39.69</v>
      </c>
    </row>
    <row r="522" spans="1:16" x14ac:dyDescent="0.3">
      <c r="A522" s="72" t="s">
        <v>2524</v>
      </c>
      <c r="B522" s="72" t="s">
        <v>2525</v>
      </c>
      <c r="C522" s="74">
        <v>2017</v>
      </c>
      <c r="D522" s="81">
        <v>225.48</v>
      </c>
      <c r="E522" s="72" t="s">
        <v>1958</v>
      </c>
      <c r="F522" s="76" t="s">
        <v>1959</v>
      </c>
      <c r="G522" s="72" t="s">
        <v>2501</v>
      </c>
      <c r="H522" s="72" t="s">
        <v>1905</v>
      </c>
      <c r="I522" s="72" t="s">
        <v>1893</v>
      </c>
      <c r="J522" s="77" t="s">
        <v>1893</v>
      </c>
      <c r="K522" s="77"/>
      <c r="L522" s="77"/>
      <c r="M522" s="78" t="s">
        <v>1824</v>
      </c>
      <c r="N522" s="78" t="s">
        <v>1825</v>
      </c>
      <c r="O522" s="90"/>
      <c r="P522" s="80">
        <v>225.48</v>
      </c>
    </row>
    <row r="523" spans="1:16" x14ac:dyDescent="0.3">
      <c r="A523" s="72" t="s">
        <v>2526</v>
      </c>
      <c r="B523" s="72" t="s">
        <v>2527</v>
      </c>
      <c r="C523" s="74">
        <v>2017</v>
      </c>
      <c r="D523" s="81">
        <v>44.52</v>
      </c>
      <c r="E523" s="72" t="s">
        <v>1958</v>
      </c>
      <c r="F523" s="76" t="s">
        <v>1959</v>
      </c>
      <c r="G523" s="72" t="s">
        <v>2501</v>
      </c>
      <c r="H523" s="72" t="s">
        <v>1905</v>
      </c>
      <c r="I523" s="72" t="s">
        <v>1893</v>
      </c>
      <c r="J523" s="77" t="s">
        <v>1893</v>
      </c>
      <c r="K523" s="77"/>
      <c r="L523" s="77"/>
      <c r="M523" s="78" t="s">
        <v>1824</v>
      </c>
      <c r="N523" s="78" t="s">
        <v>1825</v>
      </c>
      <c r="O523" s="90"/>
      <c r="P523" s="80">
        <v>44.52</v>
      </c>
    </row>
    <row r="524" spans="1:16" x14ac:dyDescent="0.3">
      <c r="A524" s="72" t="s">
        <v>2528</v>
      </c>
      <c r="B524" s="72" t="s">
        <v>2529</v>
      </c>
      <c r="C524" s="74">
        <v>2017</v>
      </c>
      <c r="D524" s="81">
        <v>76.69</v>
      </c>
      <c r="E524" s="72" t="s">
        <v>1958</v>
      </c>
      <c r="F524" s="76" t="s">
        <v>1959</v>
      </c>
      <c r="G524" s="72" t="s">
        <v>2501</v>
      </c>
      <c r="H524" s="72" t="s">
        <v>1905</v>
      </c>
      <c r="I524" s="72" t="s">
        <v>1893</v>
      </c>
      <c r="J524" s="77" t="s">
        <v>1893</v>
      </c>
      <c r="K524" s="77"/>
      <c r="L524" s="77"/>
      <c r="M524" s="78" t="s">
        <v>1824</v>
      </c>
      <c r="N524" s="78" t="s">
        <v>1825</v>
      </c>
      <c r="O524" s="90"/>
      <c r="P524" s="80">
        <v>76.69</v>
      </c>
    </row>
    <row r="525" spans="1:16" x14ac:dyDescent="0.3">
      <c r="A525" s="72" t="s">
        <v>2530</v>
      </c>
      <c r="B525" s="72" t="s">
        <v>2531</v>
      </c>
      <c r="C525" s="74">
        <v>2017</v>
      </c>
      <c r="D525" s="81">
        <v>97.17</v>
      </c>
      <c r="E525" s="72" t="s">
        <v>1958</v>
      </c>
      <c r="F525" s="76" t="s">
        <v>1959</v>
      </c>
      <c r="G525" s="72" t="s">
        <v>2501</v>
      </c>
      <c r="H525" s="72" t="s">
        <v>1905</v>
      </c>
      <c r="I525" s="72" t="s">
        <v>1893</v>
      </c>
      <c r="J525" s="77" t="s">
        <v>1893</v>
      </c>
      <c r="K525" s="77"/>
      <c r="L525" s="77"/>
      <c r="M525" s="78" t="s">
        <v>1824</v>
      </c>
      <c r="N525" s="78" t="s">
        <v>1825</v>
      </c>
      <c r="O525" s="90"/>
      <c r="P525" s="80">
        <v>97.17</v>
      </c>
    </row>
    <row r="526" spans="1:16" x14ac:dyDescent="0.3">
      <c r="A526" s="72" t="s">
        <v>2532</v>
      </c>
      <c r="B526" s="72" t="s">
        <v>2090</v>
      </c>
      <c r="C526" s="74">
        <v>2017</v>
      </c>
      <c r="D526" s="81">
        <v>34.1</v>
      </c>
      <c r="E526" s="72" t="s">
        <v>1958</v>
      </c>
      <c r="F526" s="76" t="s">
        <v>1959</v>
      </c>
      <c r="G526" s="72" t="s">
        <v>2501</v>
      </c>
      <c r="H526" s="72" t="s">
        <v>1905</v>
      </c>
      <c r="I526" s="72" t="s">
        <v>1893</v>
      </c>
      <c r="J526" s="77" t="s">
        <v>1893</v>
      </c>
      <c r="K526" s="77"/>
      <c r="L526" s="77"/>
      <c r="M526" s="78" t="s">
        <v>1824</v>
      </c>
      <c r="N526" s="78" t="s">
        <v>1825</v>
      </c>
      <c r="O526" s="90"/>
      <c r="P526" s="80">
        <v>34.1</v>
      </c>
    </row>
    <row r="527" spans="1:16" x14ac:dyDescent="0.3">
      <c r="A527" s="72" t="s">
        <v>2533</v>
      </c>
      <c r="B527" s="72" t="s">
        <v>2092</v>
      </c>
      <c r="C527" s="74">
        <v>2017</v>
      </c>
      <c r="D527" s="81">
        <v>20.78</v>
      </c>
      <c r="E527" s="72" t="s">
        <v>1958</v>
      </c>
      <c r="F527" s="76" t="s">
        <v>1959</v>
      </c>
      <c r="G527" s="72" t="s">
        <v>2501</v>
      </c>
      <c r="H527" s="72" t="s">
        <v>1905</v>
      </c>
      <c r="I527" s="72" t="s">
        <v>1893</v>
      </c>
      <c r="J527" s="77" t="s">
        <v>1893</v>
      </c>
      <c r="K527" s="77"/>
      <c r="L527" s="77"/>
      <c r="M527" s="78" t="s">
        <v>1824</v>
      </c>
      <c r="N527" s="78" t="s">
        <v>1825</v>
      </c>
      <c r="O527" s="90"/>
      <c r="P527" s="80">
        <v>20.78</v>
      </c>
    </row>
    <row r="528" spans="1:16" x14ac:dyDescent="0.3">
      <c r="A528" s="72" t="s">
        <v>2534</v>
      </c>
      <c r="B528" s="72" t="s">
        <v>2094</v>
      </c>
      <c r="C528" s="74">
        <v>2017</v>
      </c>
      <c r="D528" s="81">
        <v>17.100000000000001</v>
      </c>
      <c r="E528" s="72" t="s">
        <v>1958</v>
      </c>
      <c r="F528" s="76" t="s">
        <v>1959</v>
      </c>
      <c r="G528" s="72" t="s">
        <v>2501</v>
      </c>
      <c r="H528" s="72" t="s">
        <v>1905</v>
      </c>
      <c r="I528" s="72" t="s">
        <v>1893</v>
      </c>
      <c r="J528" s="77" t="s">
        <v>1893</v>
      </c>
      <c r="K528" s="77"/>
      <c r="L528" s="77"/>
      <c r="M528" s="78" t="s">
        <v>1824</v>
      </c>
      <c r="N528" s="78" t="s">
        <v>1825</v>
      </c>
      <c r="O528" s="90"/>
      <c r="P528" s="80">
        <v>17.100000000000001</v>
      </c>
    </row>
    <row r="529" spans="1:16" x14ac:dyDescent="0.3">
      <c r="A529" s="72" t="s">
        <v>2535</v>
      </c>
      <c r="B529" s="72" t="s">
        <v>2536</v>
      </c>
      <c r="C529" s="74">
        <v>2017</v>
      </c>
      <c r="D529" s="81">
        <v>118.9</v>
      </c>
      <c r="E529" s="72" t="s">
        <v>1821</v>
      </c>
      <c r="F529" s="76" t="s">
        <v>1822</v>
      </c>
      <c r="G529" s="72" t="s">
        <v>2501</v>
      </c>
      <c r="H529" s="72" t="s">
        <v>1905</v>
      </c>
      <c r="I529" s="72" t="s">
        <v>1893</v>
      </c>
      <c r="J529" s="77" t="s">
        <v>1893</v>
      </c>
      <c r="K529" s="77"/>
      <c r="L529" s="77"/>
      <c r="M529" s="78" t="s">
        <v>1824</v>
      </c>
      <c r="N529" s="78" t="s">
        <v>1825</v>
      </c>
      <c r="O529" s="90"/>
      <c r="P529" s="80">
        <v>118.9</v>
      </c>
    </row>
    <row r="530" spans="1:16" x14ac:dyDescent="0.3">
      <c r="A530" s="92" t="s">
        <v>2537</v>
      </c>
      <c r="B530" s="92" t="s">
        <v>2538</v>
      </c>
      <c r="C530" s="74">
        <v>2017</v>
      </c>
      <c r="D530" s="81">
        <v>161.54</v>
      </c>
      <c r="E530" s="72" t="s">
        <v>1958</v>
      </c>
      <c r="F530" s="76" t="s">
        <v>1959</v>
      </c>
      <c r="G530" s="72"/>
      <c r="H530" s="72" t="s">
        <v>1905</v>
      </c>
      <c r="I530" s="72"/>
      <c r="J530" s="77"/>
      <c r="K530" s="77"/>
      <c r="L530" s="77"/>
      <c r="M530" s="78" t="s">
        <v>1824</v>
      </c>
      <c r="N530" s="78" t="s">
        <v>1825</v>
      </c>
      <c r="O530" s="93" t="s">
        <v>1826</v>
      </c>
      <c r="P530" s="80"/>
    </row>
    <row r="531" spans="1:16" x14ac:dyDescent="0.3">
      <c r="A531" s="72" t="s">
        <v>89</v>
      </c>
      <c r="B531" s="72" t="s">
        <v>2637</v>
      </c>
      <c r="C531" s="98">
        <v>2016</v>
      </c>
      <c r="D531" s="80">
        <v>28.46</v>
      </c>
      <c r="E531" s="72" t="s">
        <v>1958</v>
      </c>
      <c r="F531" s="76" t="s">
        <v>1959</v>
      </c>
      <c r="G531" s="72" t="s">
        <v>2540</v>
      </c>
      <c r="H531" s="72" t="s">
        <v>1905</v>
      </c>
      <c r="I531" s="72" t="s">
        <v>2638</v>
      </c>
      <c r="J531" s="80">
        <v>40.799999999999997</v>
      </c>
      <c r="K531" s="72" t="s">
        <v>2639</v>
      </c>
      <c r="L531" s="80">
        <v>4.8499999999999996</v>
      </c>
      <c r="M531" s="78" t="s">
        <v>1824</v>
      </c>
      <c r="N531" s="78" t="s">
        <v>1825</v>
      </c>
      <c r="O531" s="99" t="s">
        <v>1953</v>
      </c>
      <c r="P531" s="80">
        <v>28.46</v>
      </c>
    </row>
    <row r="532" spans="1:16" x14ac:dyDescent="0.3">
      <c r="A532" s="72" t="s">
        <v>221</v>
      </c>
      <c r="B532" s="72" t="s">
        <v>2640</v>
      </c>
      <c r="C532" s="98">
        <v>2016</v>
      </c>
      <c r="D532" s="80">
        <v>29.05</v>
      </c>
      <c r="E532" s="72" t="s">
        <v>1958</v>
      </c>
      <c r="F532" s="76" t="s">
        <v>1959</v>
      </c>
      <c r="G532" s="72" t="s">
        <v>2540</v>
      </c>
      <c r="H532" s="72" t="s">
        <v>1905</v>
      </c>
      <c r="I532" s="72" t="s">
        <v>2641</v>
      </c>
      <c r="J532" s="80">
        <v>42.09</v>
      </c>
      <c r="K532" s="72" t="s">
        <v>2642</v>
      </c>
      <c r="L532" s="80">
        <v>7.01</v>
      </c>
      <c r="M532" s="78" t="s">
        <v>1824</v>
      </c>
      <c r="N532" s="78" t="s">
        <v>1825</v>
      </c>
      <c r="O532" s="99" t="s">
        <v>1953</v>
      </c>
      <c r="P532" s="80">
        <v>29.05</v>
      </c>
    </row>
    <row r="533" spans="1:16" x14ac:dyDescent="0.3">
      <c r="A533" s="72" t="s">
        <v>214</v>
      </c>
      <c r="B533" s="72" t="s">
        <v>2539</v>
      </c>
      <c r="C533" s="74">
        <v>2017</v>
      </c>
      <c r="D533" s="81">
        <v>38.03</v>
      </c>
      <c r="E533" s="72" t="s">
        <v>1958</v>
      </c>
      <c r="F533" s="76" t="s">
        <v>1959</v>
      </c>
      <c r="G533" s="72" t="s">
        <v>2540</v>
      </c>
      <c r="H533" s="72" t="s">
        <v>1905</v>
      </c>
      <c r="I533" s="72" t="s">
        <v>2541</v>
      </c>
      <c r="J533" s="81">
        <v>26.11</v>
      </c>
      <c r="K533" s="72" t="s">
        <v>2542</v>
      </c>
      <c r="L533" s="81">
        <v>1.77</v>
      </c>
      <c r="M533" s="78" t="s">
        <v>1824</v>
      </c>
      <c r="N533" s="78" t="s">
        <v>1825</v>
      </c>
      <c r="O533" s="78"/>
      <c r="P533" s="80">
        <v>38.03</v>
      </c>
    </row>
    <row r="534" spans="1:16" x14ac:dyDescent="0.3">
      <c r="A534" s="72" t="s">
        <v>216</v>
      </c>
      <c r="B534" s="72" t="s">
        <v>2643</v>
      </c>
      <c r="C534" s="98">
        <v>2016</v>
      </c>
      <c r="D534" s="80">
        <v>37.56</v>
      </c>
      <c r="E534" s="72" t="s">
        <v>1958</v>
      </c>
      <c r="F534" s="76" t="s">
        <v>1959</v>
      </c>
      <c r="G534" s="72" t="s">
        <v>2540</v>
      </c>
      <c r="H534" s="72" t="s">
        <v>1905</v>
      </c>
      <c r="I534" s="72" t="s">
        <v>2644</v>
      </c>
      <c r="J534" s="80">
        <v>38.11</v>
      </c>
      <c r="K534" s="72" t="s">
        <v>2645</v>
      </c>
      <c r="L534" s="80">
        <v>2.88</v>
      </c>
      <c r="M534" s="78" t="s">
        <v>1824</v>
      </c>
      <c r="N534" s="78" t="s">
        <v>1825</v>
      </c>
      <c r="O534" s="99" t="s">
        <v>1953</v>
      </c>
      <c r="P534" s="80">
        <v>37.56</v>
      </c>
    </row>
    <row r="535" spans="1:16" x14ac:dyDescent="0.3">
      <c r="A535" s="72" t="s">
        <v>1292</v>
      </c>
      <c r="B535" s="72" t="s">
        <v>2543</v>
      </c>
      <c r="C535" s="74">
        <v>2017</v>
      </c>
      <c r="D535" s="81">
        <v>28.81</v>
      </c>
      <c r="E535" s="72" t="s">
        <v>1958</v>
      </c>
      <c r="F535" s="76" t="s">
        <v>1959</v>
      </c>
      <c r="G535" s="72" t="s">
        <v>2540</v>
      </c>
      <c r="H535" s="72" t="s">
        <v>1905</v>
      </c>
      <c r="I535" s="72" t="s">
        <v>2544</v>
      </c>
      <c r="J535" s="81">
        <v>41.82</v>
      </c>
      <c r="K535" s="72" t="s">
        <v>2545</v>
      </c>
      <c r="L535" s="81">
        <v>4.87</v>
      </c>
      <c r="M535" s="78" t="s">
        <v>1824</v>
      </c>
      <c r="N535" s="78" t="s">
        <v>1825</v>
      </c>
      <c r="O535" s="78"/>
      <c r="P535" s="80">
        <v>28.81</v>
      </c>
    </row>
    <row r="536" spans="1:16" x14ac:dyDescent="0.3">
      <c r="A536" s="72" t="s">
        <v>1293</v>
      </c>
      <c r="B536" s="72" t="s">
        <v>2546</v>
      </c>
      <c r="C536" s="74">
        <v>2017</v>
      </c>
      <c r="D536" s="81">
        <v>29.41</v>
      </c>
      <c r="E536" s="72" t="s">
        <v>1958</v>
      </c>
      <c r="F536" s="76" t="s">
        <v>1959</v>
      </c>
      <c r="G536" s="72" t="s">
        <v>2540</v>
      </c>
      <c r="H536" s="72" t="s">
        <v>1905</v>
      </c>
      <c r="I536" s="72" t="s">
        <v>2547</v>
      </c>
      <c r="J536" s="81">
        <v>43.14</v>
      </c>
      <c r="K536" s="72" t="s">
        <v>2548</v>
      </c>
      <c r="L536" s="81">
        <v>7.03</v>
      </c>
      <c r="M536" s="78" t="s">
        <v>1824</v>
      </c>
      <c r="N536" s="78" t="s">
        <v>1825</v>
      </c>
      <c r="O536" s="78"/>
      <c r="P536" s="80">
        <v>29.41</v>
      </c>
    </row>
    <row r="537" spans="1:16" x14ac:dyDescent="0.3">
      <c r="A537" s="92" t="s">
        <v>2549</v>
      </c>
      <c r="B537" s="92" t="s">
        <v>2550</v>
      </c>
      <c r="C537" s="74">
        <v>2017</v>
      </c>
      <c r="D537" s="81">
        <v>222.74</v>
      </c>
      <c r="E537" s="72" t="s">
        <v>1958</v>
      </c>
      <c r="F537" s="76" t="s">
        <v>1959</v>
      </c>
      <c r="G537" s="72"/>
      <c r="H537" s="72" t="s">
        <v>1905</v>
      </c>
      <c r="I537" s="72" t="s">
        <v>2551</v>
      </c>
      <c r="J537" s="81">
        <v>41.82</v>
      </c>
      <c r="K537" s="72" t="s">
        <v>2552</v>
      </c>
      <c r="L537" s="81">
        <v>4.87</v>
      </c>
      <c r="M537" s="78" t="s">
        <v>1824</v>
      </c>
      <c r="N537" s="78" t="s">
        <v>1825</v>
      </c>
      <c r="O537" s="93" t="s">
        <v>1826</v>
      </c>
      <c r="P537" s="80">
        <v>222.74</v>
      </c>
    </row>
    <row r="538" spans="1:16" x14ac:dyDescent="0.3">
      <c r="A538" s="72" t="s">
        <v>2621</v>
      </c>
      <c r="B538" s="72" t="s">
        <v>2622</v>
      </c>
      <c r="C538" s="74">
        <v>2017</v>
      </c>
      <c r="D538" s="97">
        <v>1</v>
      </c>
      <c r="E538" s="72" t="s">
        <v>1958</v>
      </c>
      <c r="F538" s="76" t="s">
        <v>1959</v>
      </c>
      <c r="G538" s="72" t="s">
        <v>2150</v>
      </c>
      <c r="H538" s="72" t="s">
        <v>1905</v>
      </c>
      <c r="I538" s="72"/>
      <c r="J538" s="77"/>
      <c r="K538" s="77"/>
      <c r="L538" s="77"/>
      <c r="M538" s="78" t="s">
        <v>2623</v>
      </c>
      <c r="N538" s="78" t="s">
        <v>2624</v>
      </c>
      <c r="O538" s="78"/>
      <c r="P538" s="80">
        <v>1</v>
      </c>
    </row>
    <row r="539" spans="1:16" x14ac:dyDescent="0.3">
      <c r="A539" s="72" t="s">
        <v>2625</v>
      </c>
      <c r="B539" s="72" t="s">
        <v>2626</v>
      </c>
      <c r="C539" s="74">
        <v>2017</v>
      </c>
      <c r="D539" s="97">
        <v>1</v>
      </c>
      <c r="E539" s="72" t="s">
        <v>1958</v>
      </c>
      <c r="F539" s="76" t="s">
        <v>1959</v>
      </c>
      <c r="G539" s="72" t="s">
        <v>2150</v>
      </c>
      <c r="H539" s="72" t="s">
        <v>1905</v>
      </c>
      <c r="I539" s="72"/>
      <c r="J539" s="77"/>
      <c r="K539" s="77"/>
      <c r="L539" s="77"/>
      <c r="M539" s="78" t="s">
        <v>2623</v>
      </c>
      <c r="N539" s="78" t="s">
        <v>2624</v>
      </c>
      <c r="O539" s="78"/>
      <c r="P539" s="80">
        <v>1</v>
      </c>
    </row>
  </sheetData>
  <sortState ref="A1:P600">
    <sortCondition ref="A1"/>
  </sortState>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6"/>
  <dimension ref="A1:D22"/>
  <sheetViews>
    <sheetView workbookViewId="0">
      <selection activeCell="C22" sqref="C22"/>
    </sheetView>
  </sheetViews>
  <sheetFormatPr defaultColWidth="9.33203125" defaultRowHeight="14.4" x14ac:dyDescent="0.3"/>
  <cols>
    <col min="1" max="1" width="24" style="62" bestFit="1" customWidth="1"/>
    <col min="2" max="2" width="10.5546875" style="62" bestFit="1" customWidth="1"/>
    <col min="3" max="3" width="19.44140625" style="62" bestFit="1" customWidth="1"/>
    <col min="4" max="16384" width="9.33203125" style="62"/>
  </cols>
  <sheetData>
    <row r="1" spans="1:4" x14ac:dyDescent="0.25">
      <c r="A1" s="107" t="s">
        <v>2716</v>
      </c>
      <c r="B1" s="108" t="s">
        <v>2717</v>
      </c>
      <c r="C1" s="108" t="s">
        <v>2718</v>
      </c>
      <c r="D1" s="100"/>
    </row>
    <row r="2" spans="1:4" x14ac:dyDescent="0.25">
      <c r="A2" s="109" t="s">
        <v>2719</v>
      </c>
      <c r="B2" s="110">
        <v>22.49</v>
      </c>
      <c r="C2" s="110">
        <v>28.112499999999997</v>
      </c>
      <c r="D2" s="100"/>
    </row>
    <row r="3" spans="1:4" x14ac:dyDescent="0.25">
      <c r="A3" s="109" t="s">
        <v>2720</v>
      </c>
      <c r="B3" s="110">
        <v>27.020000000000003</v>
      </c>
      <c r="C3" s="110">
        <v>33.775000000000006</v>
      </c>
      <c r="D3" s="100"/>
    </row>
    <row r="4" spans="1:4" x14ac:dyDescent="0.25">
      <c r="A4" s="109" t="s">
        <v>2721</v>
      </c>
      <c r="B4" s="111">
        <v>17.949999999999996</v>
      </c>
      <c r="C4" s="110">
        <v>22.437499999999993</v>
      </c>
      <c r="D4" s="100"/>
    </row>
    <row r="5" spans="1:4" x14ac:dyDescent="0.25">
      <c r="A5" s="109" t="s">
        <v>2722</v>
      </c>
      <c r="B5" s="110">
        <v>24.709999999999997</v>
      </c>
      <c r="C5" s="110">
        <v>30.887499999999996</v>
      </c>
      <c r="D5" s="100"/>
    </row>
    <row r="6" spans="1:4" x14ac:dyDescent="0.25">
      <c r="A6" s="109" t="s">
        <v>2723</v>
      </c>
      <c r="B6" s="111">
        <v>22.820000000000004</v>
      </c>
      <c r="C6" s="110">
        <v>28.525000000000006</v>
      </c>
      <c r="D6" s="100"/>
    </row>
    <row r="7" spans="1:4" x14ac:dyDescent="0.25">
      <c r="A7" s="109" t="s">
        <v>2724</v>
      </c>
      <c r="B7" s="110">
        <v>33.730000000000004</v>
      </c>
      <c r="C7" s="110">
        <v>42.162500000000009</v>
      </c>
      <c r="D7" s="100"/>
    </row>
    <row r="8" spans="1:4" x14ac:dyDescent="0.25">
      <c r="A8" s="109" t="s">
        <v>2725</v>
      </c>
      <c r="B8" s="111">
        <v>22.259999999999998</v>
      </c>
      <c r="C8" s="110">
        <v>27.824999999999996</v>
      </c>
      <c r="D8" s="100"/>
    </row>
    <row r="9" spans="1:4" x14ac:dyDescent="0.25">
      <c r="A9" s="109" t="s">
        <v>2726</v>
      </c>
      <c r="B9" s="110">
        <v>29.02</v>
      </c>
      <c r="C9" s="110">
        <v>36.274999999999999</v>
      </c>
      <c r="D9" s="100"/>
    </row>
    <row r="10" spans="1:4" x14ac:dyDescent="0.25">
      <c r="A10" s="109" t="s">
        <v>2727</v>
      </c>
      <c r="B10" s="111">
        <v>20.69</v>
      </c>
      <c r="C10" s="110">
        <v>25.862500000000001</v>
      </c>
      <c r="D10" s="100"/>
    </row>
    <row r="11" spans="1:4" x14ac:dyDescent="0.25">
      <c r="A11" s="109" t="s">
        <v>2728</v>
      </c>
      <c r="B11" s="110">
        <v>26.51</v>
      </c>
      <c r="C11" s="110">
        <v>33.137500000000003</v>
      </c>
      <c r="D11" s="100"/>
    </row>
    <row r="12" spans="1:4" x14ac:dyDescent="0.25">
      <c r="A12" s="109" t="s">
        <v>2729</v>
      </c>
      <c r="B12" s="111">
        <v>23.28</v>
      </c>
      <c r="C12" s="110">
        <v>29.1</v>
      </c>
      <c r="D12" s="100"/>
    </row>
    <row r="13" spans="1:4" x14ac:dyDescent="0.25">
      <c r="A13" s="109" t="s">
        <v>2730</v>
      </c>
      <c r="B13" s="110">
        <v>28.580000000000002</v>
      </c>
      <c r="C13" s="110">
        <v>35.725000000000001</v>
      </c>
      <c r="D13" s="100"/>
    </row>
    <row r="14" spans="1:4" x14ac:dyDescent="0.25">
      <c r="A14" s="109" t="s">
        <v>2731</v>
      </c>
      <c r="B14" s="111">
        <v>25.79</v>
      </c>
      <c r="C14" s="110">
        <v>32.237499999999997</v>
      </c>
      <c r="D14" s="100"/>
    </row>
    <row r="15" spans="1:4" x14ac:dyDescent="0.25">
      <c r="A15" s="109" t="s">
        <v>2732</v>
      </c>
      <c r="B15" s="110">
        <v>30.23</v>
      </c>
      <c r="C15" s="110">
        <v>37.787500000000001</v>
      </c>
      <c r="D15" s="100"/>
    </row>
    <row r="16" spans="1:4" x14ac:dyDescent="0.25">
      <c r="A16" s="109" t="s">
        <v>2733</v>
      </c>
      <c r="B16" s="111">
        <v>34.290000000000006</v>
      </c>
      <c r="C16" s="110">
        <v>42.862500000000011</v>
      </c>
      <c r="D16" s="100"/>
    </row>
    <row r="17" spans="1:4" x14ac:dyDescent="0.25">
      <c r="A17" s="109" t="s">
        <v>2734</v>
      </c>
      <c r="B17" s="110">
        <v>44.88</v>
      </c>
      <c r="C17" s="110">
        <v>56.1</v>
      </c>
      <c r="D17" s="100"/>
    </row>
    <row r="18" spans="1:4" x14ac:dyDescent="0.25">
      <c r="A18" s="109" t="s">
        <v>2735</v>
      </c>
      <c r="B18" s="111">
        <v>24.87</v>
      </c>
      <c r="C18" s="110">
        <v>31.087500000000002</v>
      </c>
      <c r="D18" s="100"/>
    </row>
    <row r="19" spans="1:4" x14ac:dyDescent="0.25">
      <c r="A19" s="109" t="s">
        <v>2736</v>
      </c>
      <c r="B19" s="110">
        <v>31.62</v>
      </c>
      <c r="C19" s="110">
        <v>39.524999999999999</v>
      </c>
      <c r="D19" s="100"/>
    </row>
    <row r="20" spans="1:4" x14ac:dyDescent="0.25">
      <c r="A20" s="109" t="s">
        <v>2737</v>
      </c>
      <c r="B20" s="110">
        <v>29.93</v>
      </c>
      <c r="C20" s="110">
        <v>37.412500000000001</v>
      </c>
      <c r="D20" s="112" t="s">
        <v>2738</v>
      </c>
    </row>
    <row r="21" spans="1:4" x14ac:dyDescent="0.25">
      <c r="A21" s="109" t="s">
        <v>2739</v>
      </c>
      <c r="B21" s="110">
        <v>29.930000000000003</v>
      </c>
      <c r="C21" s="110">
        <v>37.412500000000001</v>
      </c>
      <c r="D21" s="112" t="s">
        <v>2738</v>
      </c>
    </row>
    <row r="22" spans="1:4" x14ac:dyDescent="0.25">
      <c r="A22" s="109" t="s">
        <v>2740</v>
      </c>
      <c r="B22" s="110">
        <v>39.43</v>
      </c>
      <c r="C22" s="110">
        <v>49.287500000000001</v>
      </c>
      <c r="D22" s="112" t="s">
        <v>2738</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7"/>
  <dimension ref="A1:D14"/>
  <sheetViews>
    <sheetView workbookViewId="0">
      <selection activeCell="B16" sqref="B16"/>
    </sheetView>
  </sheetViews>
  <sheetFormatPr defaultRowHeight="14.4" x14ac:dyDescent="0.3"/>
  <cols>
    <col min="1" max="1" width="24" bestFit="1" customWidth="1"/>
    <col min="2" max="2" width="21.6640625" style="113" bestFit="1" customWidth="1"/>
    <col min="3" max="3" width="28.33203125" style="113" bestFit="1" customWidth="1"/>
  </cols>
  <sheetData>
    <row r="1" spans="1:4" s="113" customFormat="1" ht="15.75" thickBot="1" x14ac:dyDescent="0.3">
      <c r="A1" s="115" t="s">
        <v>2750</v>
      </c>
      <c r="B1" s="115" t="s">
        <v>2751</v>
      </c>
      <c r="C1" s="115" t="s">
        <v>2752</v>
      </c>
    </row>
    <row r="2" spans="1:4" ht="15" x14ac:dyDescent="0.25">
      <c r="A2" s="116" t="s">
        <v>2719</v>
      </c>
      <c r="B2" s="116">
        <v>23</v>
      </c>
      <c r="C2" s="116">
        <v>28.75</v>
      </c>
    </row>
    <row r="3" spans="1:4" ht="15" x14ac:dyDescent="0.25">
      <c r="A3" s="117" t="s">
        <v>2720</v>
      </c>
      <c r="B3" s="117">
        <v>28.5</v>
      </c>
      <c r="C3" s="117">
        <v>35.630000000000003</v>
      </c>
    </row>
    <row r="4" spans="1:4" ht="15" x14ac:dyDescent="0.25">
      <c r="A4" s="117" t="s">
        <v>2722</v>
      </c>
      <c r="B4" s="117">
        <v>25.5</v>
      </c>
      <c r="C4" s="117">
        <v>31.88</v>
      </c>
      <c r="D4" s="113"/>
    </row>
    <row r="5" spans="1:4" ht="15" x14ac:dyDescent="0.25">
      <c r="A5" s="117" t="s">
        <v>2724</v>
      </c>
      <c r="B5" s="117">
        <v>36</v>
      </c>
      <c r="C5" s="117">
        <v>45</v>
      </c>
      <c r="D5" s="113"/>
    </row>
    <row r="6" spans="1:4" ht="15" x14ac:dyDescent="0.25">
      <c r="A6" s="117" t="s">
        <v>2726</v>
      </c>
      <c r="B6" s="117">
        <v>30</v>
      </c>
      <c r="C6" s="117">
        <v>37.5</v>
      </c>
      <c r="D6" s="113"/>
    </row>
    <row r="7" spans="1:4" ht="15" x14ac:dyDescent="0.25">
      <c r="A7" s="117" t="s">
        <v>2728</v>
      </c>
      <c r="B7" s="117">
        <v>28.5</v>
      </c>
      <c r="C7" s="117">
        <v>35.630000000000003</v>
      </c>
      <c r="D7" s="113"/>
    </row>
    <row r="8" spans="1:4" ht="15" x14ac:dyDescent="0.25">
      <c r="A8" s="117" t="s">
        <v>2730</v>
      </c>
      <c r="B8" s="117">
        <v>28.5</v>
      </c>
      <c r="C8" s="117">
        <v>35.630000000000003</v>
      </c>
      <c r="D8" s="113"/>
    </row>
    <row r="9" spans="1:4" ht="15" x14ac:dyDescent="0.25">
      <c r="A9" s="117" t="s">
        <v>2732</v>
      </c>
      <c r="B9" s="117">
        <v>30.5</v>
      </c>
      <c r="C9" s="117">
        <v>38.130000000000003</v>
      </c>
      <c r="D9" s="113"/>
    </row>
    <row r="10" spans="1:4" ht="15" x14ac:dyDescent="0.25">
      <c r="A10" s="117" t="s">
        <v>2734</v>
      </c>
      <c r="B10" s="117">
        <v>47</v>
      </c>
      <c r="C10" s="117">
        <v>58.75</v>
      </c>
      <c r="D10" s="113"/>
    </row>
    <row r="11" spans="1:4" ht="15" x14ac:dyDescent="0.25">
      <c r="A11" s="117" t="s">
        <v>2736</v>
      </c>
      <c r="B11" s="117">
        <v>33</v>
      </c>
      <c r="C11" s="117">
        <v>41.25</v>
      </c>
      <c r="D11" s="113"/>
    </row>
    <row r="12" spans="1:4" ht="15" x14ac:dyDescent="0.25">
      <c r="A12" s="117" t="s">
        <v>2737</v>
      </c>
      <c r="B12" s="117">
        <v>25.5</v>
      </c>
      <c r="C12" s="117">
        <v>31.88</v>
      </c>
      <c r="D12" s="114" t="s">
        <v>2738</v>
      </c>
    </row>
    <row r="13" spans="1:4" ht="15" x14ac:dyDescent="0.25">
      <c r="A13" s="119" t="s">
        <v>2739</v>
      </c>
      <c r="B13" s="119">
        <v>25.5</v>
      </c>
      <c r="C13" s="119">
        <v>31.88</v>
      </c>
      <c r="D13" s="114" t="s">
        <v>2738</v>
      </c>
    </row>
    <row r="14" spans="1:4" ht="15.75" thickBot="1" x14ac:dyDescent="0.3">
      <c r="A14" s="118" t="s">
        <v>2740</v>
      </c>
      <c r="B14" s="118">
        <v>27.5</v>
      </c>
      <c r="C14" s="118">
        <v>34.380000000000003</v>
      </c>
      <c r="D14" s="114" t="s">
        <v>2738</v>
      </c>
    </row>
  </sheetData>
  <sheetProtection algorithmName="SHA-512" hashValue="gzc+pEr6lrRpe3Ra7vw06d+jQQ9o3B33ASPR77Nt7VkrJsELtg8OiC2iLV4r9GYNGfhvtlVqXlXOkyfwZUpfAQ==" saltValue="wjuYhLXQB6K6+9SPDFwJUQ==" spinCount="100000" sheet="1" objects="1" scenarios="1"/>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8"/>
  <dimension ref="A1:I213"/>
  <sheetViews>
    <sheetView topLeftCell="A63" workbookViewId="0">
      <selection activeCell="E84" sqref="E84"/>
    </sheetView>
  </sheetViews>
  <sheetFormatPr defaultColWidth="9.33203125" defaultRowHeight="14.4" x14ac:dyDescent="0.3"/>
  <cols>
    <col min="1" max="1" width="9.33203125" style="124"/>
    <col min="2" max="2" width="6.6640625" style="120" bestFit="1" customWidth="1"/>
    <col min="3" max="3" width="47.6640625" style="120" bestFit="1" customWidth="1"/>
    <col min="4" max="4" width="61.33203125" style="39" customWidth="1"/>
    <col min="5" max="5" width="9.44140625" style="120" customWidth="1"/>
    <col min="6" max="6" width="6.6640625" style="120" bestFit="1" customWidth="1"/>
    <col min="7" max="7" width="5.6640625" style="120" bestFit="1" customWidth="1"/>
    <col min="8" max="8" width="37.88671875" style="120" bestFit="1" customWidth="1"/>
    <col min="9" max="9" width="17.6640625" style="128" customWidth="1"/>
    <col min="10" max="16384" width="9.33203125" style="120"/>
  </cols>
  <sheetData>
    <row r="1" spans="1:9" ht="15" x14ac:dyDescent="0.25">
      <c r="A1" s="121" t="s">
        <v>3618</v>
      </c>
      <c r="B1" s="282"/>
      <c r="E1" s="122"/>
      <c r="F1" s="122"/>
      <c r="G1" s="122"/>
      <c r="H1" s="122"/>
    </row>
    <row r="2" spans="1:9" ht="15" x14ac:dyDescent="0.25">
      <c r="A2" s="121"/>
      <c r="B2" s="282"/>
      <c r="E2" s="123" t="s">
        <v>3585</v>
      </c>
      <c r="F2" s="123" t="s">
        <v>3586</v>
      </c>
      <c r="G2" s="123" t="s">
        <v>3587</v>
      </c>
      <c r="H2" s="122" t="s">
        <v>3588</v>
      </c>
      <c r="I2" s="129" t="s">
        <v>3021</v>
      </c>
    </row>
    <row r="3" spans="1:9" s="124" customFormat="1" ht="15" customHeight="1" x14ac:dyDescent="0.25">
      <c r="B3" s="282"/>
      <c r="C3" s="120"/>
      <c r="D3" s="39"/>
      <c r="E3" s="122"/>
      <c r="F3" s="122"/>
      <c r="G3" s="122"/>
      <c r="H3" s="125" t="s">
        <v>3022</v>
      </c>
      <c r="I3" s="128"/>
    </row>
    <row r="4" spans="1:9" s="124" customFormat="1" ht="15" customHeight="1" x14ac:dyDescent="0.2">
      <c r="B4" s="126" t="s">
        <v>3023</v>
      </c>
      <c r="C4" s="121" t="s">
        <v>0</v>
      </c>
      <c r="D4" s="127"/>
      <c r="E4" s="125" t="s">
        <v>3024</v>
      </c>
      <c r="F4" s="125" t="s">
        <v>3025</v>
      </c>
      <c r="G4" s="125" t="s">
        <v>3026</v>
      </c>
      <c r="H4" s="125" t="s">
        <v>3027</v>
      </c>
      <c r="I4" s="130" t="s">
        <v>3028</v>
      </c>
    </row>
    <row r="5" spans="1:9" ht="15" x14ac:dyDescent="0.25">
      <c r="A5" s="121" t="s">
        <v>3029</v>
      </c>
      <c r="B5" s="282"/>
      <c r="E5" s="122"/>
      <c r="F5" s="122"/>
      <c r="G5" s="122"/>
      <c r="H5" s="122"/>
    </row>
    <row r="6" spans="1:9" ht="15" x14ac:dyDescent="0.25">
      <c r="A6" s="124" t="str">
        <f>SUBSTITUTE(C6,"ZZP","VPT")</f>
        <v>VPT 1vv excl.bh incl.db</v>
      </c>
      <c r="B6" s="282" t="s">
        <v>245</v>
      </c>
      <c r="C6" s="120" t="s">
        <v>3563</v>
      </c>
      <c r="D6" s="434" t="str">
        <f>CONCATENATE(B6," ",A6)</f>
        <v>V015 VPT 1vv excl.bh incl.db</v>
      </c>
      <c r="E6" s="122">
        <v>67.186497876749442</v>
      </c>
      <c r="F6" s="122">
        <v>3.06</v>
      </c>
      <c r="G6" s="122">
        <v>0.62</v>
      </c>
      <c r="H6" s="122">
        <v>0</v>
      </c>
      <c r="I6" s="128">
        <v>70.866497876749449</v>
      </c>
    </row>
    <row r="7" spans="1:9" ht="15" x14ac:dyDescent="0.25">
      <c r="A7" s="124" t="str">
        <f t="shared" ref="A7:A70" si="0">SUBSTITUTE(C7,"ZZP","VPT")</f>
        <v>VPT 2vv excl.bh incl.db</v>
      </c>
      <c r="B7" s="282" t="s">
        <v>136</v>
      </c>
      <c r="C7" s="120" t="s">
        <v>3564</v>
      </c>
      <c r="D7" s="434" t="str">
        <f t="shared" ref="D7:D70" si="1">CONCATENATE(B7," ",A7)</f>
        <v>V025 VPT 2vv excl.bh incl.db</v>
      </c>
      <c r="E7" s="122">
        <v>90.167296149839132</v>
      </c>
      <c r="F7" s="122">
        <v>3.06</v>
      </c>
      <c r="G7" s="122">
        <v>0.62</v>
      </c>
      <c r="H7" s="122">
        <v>0</v>
      </c>
      <c r="I7" s="128">
        <v>93.847296149839138</v>
      </c>
    </row>
    <row r="8" spans="1:9" ht="15" x14ac:dyDescent="0.25">
      <c r="A8" s="124" t="str">
        <f t="shared" si="0"/>
        <v>VPT 3vv excl.bh incl.db</v>
      </c>
      <c r="B8" s="282" t="s">
        <v>210</v>
      </c>
      <c r="C8" s="120" t="s">
        <v>3150</v>
      </c>
      <c r="D8" s="434" t="str">
        <f t="shared" si="1"/>
        <v>V031 VPT 3vv excl.bh incl.db</v>
      </c>
      <c r="E8" s="122">
        <v>120.54669379408337</v>
      </c>
      <c r="F8" s="122">
        <v>3.12</v>
      </c>
      <c r="G8" s="122">
        <v>0.62</v>
      </c>
      <c r="H8" s="122">
        <v>0</v>
      </c>
      <c r="I8" s="128">
        <v>124.28669379408338</v>
      </c>
    </row>
    <row r="9" spans="1:9" ht="15" x14ac:dyDescent="0.25">
      <c r="A9" s="124" t="str">
        <f t="shared" si="0"/>
        <v>VPT 4vv excl.bh incl.db</v>
      </c>
      <c r="B9" s="282" t="s">
        <v>54</v>
      </c>
      <c r="C9" s="120" t="s">
        <v>3151</v>
      </c>
      <c r="D9" s="434" t="str">
        <f t="shared" si="1"/>
        <v>V041 VPT 4vv excl.bh incl.db</v>
      </c>
      <c r="E9" s="122">
        <v>130.09</v>
      </c>
      <c r="F9" s="122">
        <v>3.12</v>
      </c>
      <c r="G9" s="122">
        <v>0.62</v>
      </c>
      <c r="H9" s="122">
        <v>0</v>
      </c>
      <c r="I9" s="128">
        <v>133.83000000000001</v>
      </c>
    </row>
    <row r="10" spans="1:9" ht="15" x14ac:dyDescent="0.25">
      <c r="A10" s="124" t="str">
        <f t="shared" si="0"/>
        <v>VPT 5vv excl.bh incl.db</v>
      </c>
      <c r="B10" s="282" t="s">
        <v>107</v>
      </c>
      <c r="C10" s="120" t="s">
        <v>3152</v>
      </c>
      <c r="D10" s="434" t="str">
        <f t="shared" si="1"/>
        <v>V051 VPT 5vv excl.bh incl.db</v>
      </c>
      <c r="E10" s="122">
        <v>179.51</v>
      </c>
      <c r="F10" s="122">
        <v>4.13</v>
      </c>
      <c r="G10" s="122">
        <v>0.44</v>
      </c>
      <c r="H10" s="122">
        <v>0</v>
      </c>
      <c r="I10" s="128">
        <v>184.07999999999998</v>
      </c>
    </row>
    <row r="11" spans="1:9" ht="15" x14ac:dyDescent="0.25">
      <c r="A11" s="124" t="str">
        <f t="shared" si="0"/>
        <v>VPT 6vv excl.bh incl.db</v>
      </c>
      <c r="B11" s="282" t="s">
        <v>263</v>
      </c>
      <c r="C11" s="120" t="s">
        <v>3153</v>
      </c>
      <c r="D11" s="434" t="str">
        <f t="shared" si="1"/>
        <v>V061 VPT 6vv excl.bh incl.db</v>
      </c>
      <c r="E11" s="122">
        <v>179.49</v>
      </c>
      <c r="F11" s="122">
        <v>4.51</v>
      </c>
      <c r="G11" s="122">
        <v>0.44</v>
      </c>
      <c r="H11" s="122">
        <v>0</v>
      </c>
      <c r="I11" s="128">
        <v>184.44</v>
      </c>
    </row>
    <row r="12" spans="1:9" ht="15" x14ac:dyDescent="0.25">
      <c r="A12" s="124" t="str">
        <f t="shared" si="0"/>
        <v>VPT 7vv excl.bh incl.db</v>
      </c>
      <c r="B12" s="282" t="s">
        <v>386</v>
      </c>
      <c r="C12" s="120" t="s">
        <v>3154</v>
      </c>
      <c r="D12" s="434" t="str">
        <f t="shared" si="1"/>
        <v>V071 VPT 7vv excl.bh incl.db</v>
      </c>
      <c r="E12" s="122">
        <v>210.72</v>
      </c>
      <c r="F12" s="122">
        <v>4.51</v>
      </c>
      <c r="G12" s="122">
        <v>0.44</v>
      </c>
      <c r="H12" s="122">
        <v>0</v>
      </c>
      <c r="I12" s="128">
        <v>215.67</v>
      </c>
    </row>
    <row r="13" spans="1:9" ht="15" x14ac:dyDescent="0.25">
      <c r="A13" s="124" t="str">
        <f t="shared" si="0"/>
        <v>VPT 8vv excl.bh incl.db</v>
      </c>
      <c r="B13" s="282" t="s">
        <v>306</v>
      </c>
      <c r="C13" s="120" t="s">
        <v>3155</v>
      </c>
      <c r="D13" s="434" t="str">
        <f t="shared" si="1"/>
        <v>V081 VPT 8vv excl.bh incl.db</v>
      </c>
      <c r="E13" s="122">
        <v>244.81</v>
      </c>
      <c r="F13" s="122">
        <v>4.51</v>
      </c>
      <c r="G13" s="122">
        <v>0.27</v>
      </c>
      <c r="H13" s="122">
        <v>0</v>
      </c>
      <c r="I13" s="128">
        <v>249.59</v>
      </c>
    </row>
    <row r="14" spans="1:9" ht="15" x14ac:dyDescent="0.25">
      <c r="A14" s="124" t="str">
        <f t="shared" si="0"/>
        <v>VPT 9bvv excl.bh incl.db</v>
      </c>
      <c r="B14" s="282" t="s">
        <v>574</v>
      </c>
      <c r="C14" s="120" t="s">
        <v>3156</v>
      </c>
      <c r="D14" s="434" t="str">
        <f t="shared" si="1"/>
        <v>V095 VPT 9bvv excl.bh incl.db</v>
      </c>
      <c r="E14" s="122">
        <v>174.79</v>
      </c>
      <c r="F14" s="122">
        <v>3.7</v>
      </c>
      <c r="G14" s="122">
        <v>0.26</v>
      </c>
      <c r="H14" s="122">
        <v>0</v>
      </c>
      <c r="I14" s="128">
        <v>178.74999999999997</v>
      </c>
    </row>
    <row r="15" spans="1:9" ht="15" x14ac:dyDescent="0.25">
      <c r="A15" s="124" t="str">
        <f t="shared" si="0"/>
        <v>VPT 10vv excl.bh incl.db</v>
      </c>
      <c r="B15" s="282" t="s">
        <v>93</v>
      </c>
      <c r="C15" s="120" t="s">
        <v>3157</v>
      </c>
      <c r="D15" s="434" t="str">
        <f t="shared" si="1"/>
        <v>V101 VPT 10vv excl.bh incl.db</v>
      </c>
      <c r="E15" s="122">
        <v>267.39999999999998</v>
      </c>
      <c r="F15" s="122">
        <v>4.51</v>
      </c>
      <c r="G15" s="122">
        <v>0.44</v>
      </c>
      <c r="H15" s="122">
        <v>0</v>
      </c>
      <c r="I15" s="128">
        <v>272.34999999999997</v>
      </c>
    </row>
    <row r="16" spans="1:9" ht="15" x14ac:dyDescent="0.25">
      <c r="A16" s="124" t="str">
        <f t="shared" si="0"/>
        <v>VPT 3vv incl.bh incl.db</v>
      </c>
      <c r="B16" s="282" t="s">
        <v>291</v>
      </c>
      <c r="C16" s="120" t="s">
        <v>3158</v>
      </c>
      <c r="D16" s="434" t="str">
        <f t="shared" si="1"/>
        <v>V033 VPT 3vv incl.bh incl.db</v>
      </c>
      <c r="E16" s="122">
        <v>142.36395433561756</v>
      </c>
      <c r="F16" s="122">
        <v>3.12</v>
      </c>
      <c r="G16" s="122">
        <v>0.83</v>
      </c>
      <c r="H16" s="122">
        <v>0</v>
      </c>
      <c r="I16" s="128">
        <v>146.31395433561758</v>
      </c>
    </row>
    <row r="17" spans="1:9" ht="15" x14ac:dyDescent="0.25">
      <c r="A17" s="124" t="str">
        <f t="shared" si="0"/>
        <v>VPT 4vv incl.bh incl.db</v>
      </c>
      <c r="B17" s="282" t="s">
        <v>167</v>
      </c>
      <c r="C17" s="120" t="s">
        <v>3159</v>
      </c>
      <c r="D17" s="434" t="str">
        <f t="shared" si="1"/>
        <v>V043 VPT 4vv incl.bh incl.db</v>
      </c>
      <c r="E17" s="122">
        <v>152.5</v>
      </c>
      <c r="F17" s="122">
        <v>3.12</v>
      </c>
      <c r="G17" s="122">
        <v>0.83</v>
      </c>
      <c r="H17" s="122">
        <v>0</v>
      </c>
      <c r="I17" s="128">
        <v>156.45000000000002</v>
      </c>
    </row>
    <row r="18" spans="1:9" ht="15" x14ac:dyDescent="0.25">
      <c r="A18" s="124" t="str">
        <f t="shared" si="0"/>
        <v>VPT 5vv incl.bh incl.db</v>
      </c>
      <c r="B18" s="282" t="s">
        <v>378</v>
      </c>
      <c r="C18" s="120" t="s">
        <v>3160</v>
      </c>
      <c r="D18" s="434" t="str">
        <f t="shared" si="1"/>
        <v>V053 VPT 5vv incl.bh incl.db</v>
      </c>
      <c r="E18" s="122">
        <v>203.64</v>
      </c>
      <c r="F18" s="122">
        <v>4.13</v>
      </c>
      <c r="G18" s="122">
        <v>0.71</v>
      </c>
      <c r="H18" s="122">
        <v>0</v>
      </c>
      <c r="I18" s="128">
        <v>208.48</v>
      </c>
    </row>
    <row r="19" spans="1:9" ht="15" x14ac:dyDescent="0.25">
      <c r="A19" s="124" t="str">
        <f t="shared" si="0"/>
        <v>VPT 6vv incl.bh incl.db</v>
      </c>
      <c r="B19" s="282" t="s">
        <v>340</v>
      </c>
      <c r="C19" s="120" t="s">
        <v>3161</v>
      </c>
      <c r="D19" s="434" t="str">
        <f t="shared" si="1"/>
        <v>V063 VPT 6vv incl.bh incl.db</v>
      </c>
      <c r="E19" s="122">
        <v>203.61</v>
      </c>
      <c r="F19" s="122">
        <v>4.51</v>
      </c>
      <c r="G19" s="122">
        <v>0.71</v>
      </c>
      <c r="H19" s="122">
        <v>0</v>
      </c>
      <c r="I19" s="128">
        <v>208.83</v>
      </c>
    </row>
    <row r="20" spans="1:9" ht="15" x14ac:dyDescent="0.25">
      <c r="A20" s="124" t="str">
        <f t="shared" si="0"/>
        <v>VPT 7vv incl.bh incl.db</v>
      </c>
      <c r="B20" s="282" t="s">
        <v>268</v>
      </c>
      <c r="C20" s="120" t="s">
        <v>3162</v>
      </c>
      <c r="D20" s="434" t="str">
        <f t="shared" si="1"/>
        <v>V073 VPT 7vv incl.bh incl.db</v>
      </c>
      <c r="E20" s="122">
        <v>243.38</v>
      </c>
      <c r="F20" s="122">
        <v>4.51</v>
      </c>
      <c r="G20" s="122">
        <v>0.71</v>
      </c>
      <c r="H20" s="122">
        <v>0</v>
      </c>
      <c r="I20" s="128">
        <v>248.6</v>
      </c>
    </row>
    <row r="21" spans="1:9" ht="15" x14ac:dyDescent="0.25">
      <c r="A21" s="124" t="str">
        <f t="shared" si="0"/>
        <v>VPT 8vv incl.bh incl.db</v>
      </c>
      <c r="B21" s="282" t="s">
        <v>197</v>
      </c>
      <c r="C21" s="120" t="s">
        <v>3163</v>
      </c>
      <c r="D21" s="434" t="str">
        <f t="shared" si="1"/>
        <v>V083 VPT 8vv incl.bh incl.db</v>
      </c>
      <c r="E21" s="122">
        <v>277.5</v>
      </c>
      <c r="F21" s="122">
        <v>4.51</v>
      </c>
      <c r="G21" s="122">
        <v>0.44</v>
      </c>
      <c r="H21" s="122">
        <v>0</v>
      </c>
      <c r="I21" s="128">
        <v>282.45</v>
      </c>
    </row>
    <row r="22" spans="1:9" ht="15" x14ac:dyDescent="0.25">
      <c r="A22" s="124" t="str">
        <f t="shared" si="0"/>
        <v>VPT 9bvv incl.bhincl.db</v>
      </c>
      <c r="B22" s="282" t="s">
        <v>576</v>
      </c>
      <c r="C22" s="120" t="s">
        <v>3565</v>
      </c>
      <c r="D22" s="434" t="str">
        <f t="shared" si="1"/>
        <v>V097 VPT 9bvv incl.bhincl.db</v>
      </c>
      <c r="E22" s="122">
        <v>241.72</v>
      </c>
      <c r="F22" s="122">
        <v>3.7</v>
      </c>
      <c r="G22" s="122">
        <v>0.43</v>
      </c>
      <c r="H22" s="122">
        <v>0</v>
      </c>
      <c r="I22" s="128">
        <v>245.85</v>
      </c>
    </row>
    <row r="23" spans="1:9" ht="15" x14ac:dyDescent="0.25">
      <c r="A23" s="124" t="str">
        <f t="shared" si="0"/>
        <v>VPT 10vv incl.bhincl.db</v>
      </c>
      <c r="B23" s="282" t="s">
        <v>188</v>
      </c>
      <c r="C23" s="120" t="s">
        <v>3566</v>
      </c>
      <c r="D23" s="434" t="str">
        <f t="shared" si="1"/>
        <v>V103 VPT 10vv incl.bhincl.db</v>
      </c>
      <c r="E23" s="122">
        <v>300.10000000000002</v>
      </c>
      <c r="F23" s="122">
        <v>4.51</v>
      </c>
      <c r="G23" s="122">
        <v>0.71</v>
      </c>
      <c r="H23" s="122">
        <v>0</v>
      </c>
      <c r="I23" s="128">
        <v>305.32</v>
      </c>
    </row>
    <row r="24" spans="1:9" ht="15" x14ac:dyDescent="0.25">
      <c r="A24" s="124" t="str">
        <f t="shared" si="0"/>
        <v>VPT 1vg excl.bh excl.db</v>
      </c>
      <c r="B24" s="282" t="s">
        <v>158</v>
      </c>
      <c r="C24" s="120" t="s">
        <v>3567</v>
      </c>
      <c r="D24" s="434" t="str">
        <f t="shared" si="1"/>
        <v>V414 VPT 1vg excl.bh excl.db</v>
      </c>
      <c r="E24" s="122">
        <v>55.068190648887601</v>
      </c>
      <c r="F24" s="122">
        <v>0</v>
      </c>
      <c r="G24" s="122">
        <v>0</v>
      </c>
      <c r="H24" s="122">
        <v>0</v>
      </c>
      <c r="I24" s="128">
        <v>55.068190648887601</v>
      </c>
    </row>
    <row r="25" spans="1:9" ht="15" x14ac:dyDescent="0.25">
      <c r="A25" s="124" t="str">
        <f t="shared" si="0"/>
        <v>VPT 2vg excl.bh excl.db</v>
      </c>
      <c r="B25" s="282" t="s">
        <v>252</v>
      </c>
      <c r="C25" s="120" t="s">
        <v>3568</v>
      </c>
      <c r="D25" s="434" t="str">
        <f t="shared" si="1"/>
        <v>V424 VPT 2vg excl.bh excl.db</v>
      </c>
      <c r="E25" s="122">
        <v>67.60618872459284</v>
      </c>
      <c r="F25" s="122">
        <v>0</v>
      </c>
      <c r="G25" s="122">
        <v>0</v>
      </c>
      <c r="H25" s="122">
        <v>0</v>
      </c>
      <c r="I25" s="128">
        <v>67.60618872459284</v>
      </c>
    </row>
    <row r="26" spans="1:9" ht="15" x14ac:dyDescent="0.25">
      <c r="A26" s="124" t="str">
        <f t="shared" si="0"/>
        <v>VPT 1vg excl.bh incl.db</v>
      </c>
      <c r="B26" s="282" t="s">
        <v>79</v>
      </c>
      <c r="C26" s="120" t="s">
        <v>3569</v>
      </c>
      <c r="D26" s="434" t="str">
        <f t="shared" si="1"/>
        <v>V415 VPT 1vg excl.bh incl.db</v>
      </c>
      <c r="E26" s="122">
        <v>87.955050082640227</v>
      </c>
      <c r="F26" s="122">
        <v>7.4699999999999989</v>
      </c>
      <c r="G26" s="122">
        <v>0.99</v>
      </c>
      <c r="H26" s="122">
        <v>0</v>
      </c>
      <c r="I26" s="128">
        <v>96.415050082640221</v>
      </c>
    </row>
    <row r="27" spans="1:9" ht="15" x14ac:dyDescent="0.25">
      <c r="A27" s="124" t="str">
        <f t="shared" si="0"/>
        <v>VPT 2vg excl.bh incl.db</v>
      </c>
      <c r="B27" s="282" t="s">
        <v>177</v>
      </c>
      <c r="C27" s="120" t="s">
        <v>3570</v>
      </c>
      <c r="D27" s="434" t="str">
        <f t="shared" si="1"/>
        <v>V425 VPT 2vg excl.bh incl.db</v>
      </c>
      <c r="E27" s="122">
        <v>99.296257774979068</v>
      </c>
      <c r="F27" s="122">
        <v>7.4699999999999989</v>
      </c>
      <c r="G27" s="122">
        <v>0.99</v>
      </c>
      <c r="H27" s="122">
        <v>0</v>
      </c>
      <c r="I27" s="128">
        <v>107.75625777497906</v>
      </c>
    </row>
    <row r="28" spans="1:9" ht="15" x14ac:dyDescent="0.25">
      <c r="A28" s="124" t="str">
        <f t="shared" si="0"/>
        <v>VPT 3vg excl.bh excl.db</v>
      </c>
      <c r="B28" s="282" t="s">
        <v>220</v>
      </c>
      <c r="C28" s="120" t="s">
        <v>3184</v>
      </c>
      <c r="D28" s="434" t="str">
        <f t="shared" si="1"/>
        <v>V430 VPT 3vg excl.bh excl.db</v>
      </c>
      <c r="E28" s="122">
        <v>93.287151444190116</v>
      </c>
      <c r="F28" s="122">
        <v>0</v>
      </c>
      <c r="G28" s="122">
        <v>0</v>
      </c>
      <c r="H28" s="122">
        <v>0</v>
      </c>
      <c r="I28" s="128">
        <v>93.287151444190116</v>
      </c>
    </row>
    <row r="29" spans="1:9" ht="15" x14ac:dyDescent="0.25">
      <c r="A29" s="124" t="str">
        <f t="shared" si="0"/>
        <v>VPT 4vg excl.bh excl.db</v>
      </c>
      <c r="B29" s="282" t="s">
        <v>275</v>
      </c>
      <c r="C29" s="120" t="s">
        <v>3185</v>
      </c>
      <c r="D29" s="434" t="str">
        <f t="shared" si="1"/>
        <v>V440 VPT 4vg excl.bh excl.db</v>
      </c>
      <c r="E29" s="122">
        <v>114.18009999028516</v>
      </c>
      <c r="F29" s="122">
        <v>0</v>
      </c>
      <c r="G29" s="122">
        <v>0</v>
      </c>
      <c r="H29" s="122">
        <v>0</v>
      </c>
      <c r="I29" s="128">
        <v>114.18009999028516</v>
      </c>
    </row>
    <row r="30" spans="1:9" ht="15" x14ac:dyDescent="0.25">
      <c r="A30" s="124" t="str">
        <f t="shared" si="0"/>
        <v>VPT 5vg excl.bh excl.db</v>
      </c>
      <c r="B30" s="282" t="s">
        <v>288</v>
      </c>
      <c r="C30" s="120" t="s">
        <v>3186</v>
      </c>
      <c r="D30" s="434" t="str">
        <f t="shared" si="1"/>
        <v>V454 VPT 5vg excl.bh excl.db</v>
      </c>
      <c r="E30" s="122">
        <v>152.73167493660105</v>
      </c>
      <c r="F30" s="122">
        <v>0</v>
      </c>
      <c r="G30" s="122">
        <v>0</v>
      </c>
      <c r="H30" s="122">
        <v>0</v>
      </c>
      <c r="I30" s="128">
        <v>152.73167493660105</v>
      </c>
    </row>
    <row r="31" spans="1:9" ht="15" x14ac:dyDescent="0.25">
      <c r="A31" s="124" t="str">
        <f t="shared" si="0"/>
        <v>VPT 6vg excl.bh excl.db</v>
      </c>
      <c r="B31" s="282" t="s">
        <v>310</v>
      </c>
      <c r="C31" s="120" t="s">
        <v>3187</v>
      </c>
      <c r="D31" s="434" t="str">
        <f t="shared" si="1"/>
        <v>V460 VPT 6vg excl.bh excl.db</v>
      </c>
      <c r="E31" s="122">
        <v>119.0066787459839</v>
      </c>
      <c r="F31" s="122">
        <v>0</v>
      </c>
      <c r="G31" s="122">
        <v>0</v>
      </c>
      <c r="H31" s="122">
        <v>0</v>
      </c>
      <c r="I31" s="128">
        <v>119.0066787459839</v>
      </c>
    </row>
    <row r="32" spans="1:9" ht="15" x14ac:dyDescent="0.25">
      <c r="A32" s="124" t="str">
        <f t="shared" si="0"/>
        <v>VPT 7vg excl.bh excl.db</v>
      </c>
      <c r="B32" s="282" t="s">
        <v>147</v>
      </c>
      <c r="C32" s="120" t="s">
        <v>3188</v>
      </c>
      <c r="D32" s="434" t="str">
        <f t="shared" si="1"/>
        <v>V470 VPT 7vg excl.bh excl.db</v>
      </c>
      <c r="E32" s="122">
        <v>165.86764084009522</v>
      </c>
      <c r="F32" s="122">
        <v>0</v>
      </c>
      <c r="G32" s="122">
        <v>0</v>
      </c>
      <c r="H32" s="122">
        <v>0</v>
      </c>
      <c r="I32" s="128">
        <v>165.86764084009522</v>
      </c>
    </row>
    <row r="33" spans="1:9" ht="15" x14ac:dyDescent="0.25">
      <c r="A33" s="124" t="str">
        <f t="shared" si="0"/>
        <v>VPT 8vg excl.bh excl.db</v>
      </c>
      <c r="B33" s="282" t="s">
        <v>373</v>
      </c>
      <c r="C33" s="120" t="s">
        <v>3189</v>
      </c>
      <c r="D33" s="434" t="str">
        <f t="shared" si="1"/>
        <v>V480 VPT 8vg excl.bh excl.db</v>
      </c>
      <c r="E33" s="122">
        <v>179.99244424591183</v>
      </c>
      <c r="F33" s="122">
        <v>0</v>
      </c>
      <c r="G33" s="122">
        <v>0</v>
      </c>
      <c r="H33" s="122">
        <v>0</v>
      </c>
      <c r="I33" s="128">
        <v>179.99244424591183</v>
      </c>
    </row>
    <row r="34" spans="1:9" ht="15" x14ac:dyDescent="0.25">
      <c r="A34" s="124" t="str">
        <f t="shared" si="0"/>
        <v>VPT 3vg excl.bh incl.db</v>
      </c>
      <c r="B34" s="282" t="s">
        <v>266</v>
      </c>
      <c r="C34" s="120" t="s">
        <v>3190</v>
      </c>
      <c r="D34" s="434" t="str">
        <f t="shared" si="1"/>
        <v>V431 VPT 3vg excl.bh incl.db</v>
      </c>
      <c r="E34" s="122">
        <v>123.03146633648319</v>
      </c>
      <c r="F34" s="122">
        <v>7.4699999999999989</v>
      </c>
      <c r="G34" s="122">
        <v>0.99</v>
      </c>
      <c r="H34" s="122">
        <v>0</v>
      </c>
      <c r="I34" s="128">
        <v>131.4914663364832</v>
      </c>
    </row>
    <row r="35" spans="1:9" ht="15" x14ac:dyDescent="0.25">
      <c r="A35" s="124" t="str">
        <f t="shared" si="0"/>
        <v>VPT 4vg excl.bh incl.db</v>
      </c>
      <c r="B35" s="282" t="s">
        <v>231</v>
      </c>
      <c r="C35" s="120" t="s">
        <v>3191</v>
      </c>
      <c r="D35" s="434" t="str">
        <f t="shared" si="1"/>
        <v>V441 VPT 4vg excl.bh incl.db</v>
      </c>
      <c r="E35" s="122">
        <v>143.08120822519086</v>
      </c>
      <c r="F35" s="122">
        <v>7.4699999999999989</v>
      </c>
      <c r="G35" s="122">
        <v>0.99</v>
      </c>
      <c r="H35" s="122">
        <v>0</v>
      </c>
      <c r="I35" s="128">
        <v>151.54120822519087</v>
      </c>
    </row>
    <row r="36" spans="1:9" ht="15" x14ac:dyDescent="0.25">
      <c r="A36" s="124" t="str">
        <f t="shared" si="0"/>
        <v>VPT 5vg excl.bh incl.db</v>
      </c>
      <c r="B36" s="282" t="s">
        <v>366</v>
      </c>
      <c r="C36" s="120" t="s">
        <v>3192</v>
      </c>
      <c r="D36" s="434" t="str">
        <f t="shared" si="1"/>
        <v>V455 VPT 5vg excl.bh incl.db</v>
      </c>
      <c r="E36" s="122">
        <v>201.19112676448185</v>
      </c>
      <c r="F36" s="122">
        <v>8.89</v>
      </c>
      <c r="G36" s="122">
        <v>0.85</v>
      </c>
      <c r="H36" s="122">
        <v>0</v>
      </c>
      <c r="I36" s="128">
        <v>210.93112676448183</v>
      </c>
    </row>
    <row r="37" spans="1:9" ht="15" x14ac:dyDescent="0.25">
      <c r="A37" s="124" t="str">
        <f t="shared" si="0"/>
        <v>VPT 6vg excl.bh incl.db</v>
      </c>
      <c r="B37" s="282" t="s">
        <v>102</v>
      </c>
      <c r="C37" s="120" t="s">
        <v>3193</v>
      </c>
      <c r="D37" s="434" t="str">
        <f t="shared" si="1"/>
        <v>V461 VPT 6vg excl.bh incl.db</v>
      </c>
      <c r="E37" s="122">
        <v>165.88430021850138</v>
      </c>
      <c r="F37" s="122">
        <v>8.89</v>
      </c>
      <c r="G37" s="122">
        <v>0.83</v>
      </c>
      <c r="H37" s="122">
        <v>0</v>
      </c>
      <c r="I37" s="128">
        <v>175.60430021850138</v>
      </c>
    </row>
    <row r="38" spans="1:9" ht="15" x14ac:dyDescent="0.25">
      <c r="A38" s="124" t="str">
        <f t="shared" si="0"/>
        <v>VPT 7vg excl.bh incl.db</v>
      </c>
      <c r="B38" s="282" t="s">
        <v>142</v>
      </c>
      <c r="C38" s="120" t="s">
        <v>3194</v>
      </c>
      <c r="D38" s="434" t="str">
        <f t="shared" si="1"/>
        <v>V471 VPT 7vg excl.bh incl.db</v>
      </c>
      <c r="E38" s="122">
        <v>221.11675211815736</v>
      </c>
      <c r="F38" s="122">
        <v>8.89</v>
      </c>
      <c r="G38" s="122">
        <v>0.84</v>
      </c>
      <c r="H38" s="122">
        <v>0</v>
      </c>
      <c r="I38" s="128">
        <v>230.84675211815735</v>
      </c>
    </row>
    <row r="39" spans="1:9" ht="15" x14ac:dyDescent="0.25">
      <c r="A39" s="124" t="str">
        <f t="shared" si="0"/>
        <v>VPT 8vg excl.bh incl.db</v>
      </c>
      <c r="B39" s="282" t="s">
        <v>250</v>
      </c>
      <c r="C39" s="120" t="s">
        <v>3195</v>
      </c>
      <c r="D39" s="434" t="str">
        <f t="shared" si="1"/>
        <v>V481 VPT 8vg excl.bh incl.db</v>
      </c>
      <c r="E39" s="122">
        <v>248.16490390839004</v>
      </c>
      <c r="F39" s="122">
        <v>10.79</v>
      </c>
      <c r="G39" s="122">
        <v>0.85</v>
      </c>
      <c r="H39" s="122">
        <v>0</v>
      </c>
      <c r="I39" s="128">
        <v>259.80490390839009</v>
      </c>
    </row>
    <row r="40" spans="1:9" ht="15" x14ac:dyDescent="0.25">
      <c r="A40" s="124" t="str">
        <f t="shared" si="0"/>
        <v>VPT 3vg incl.bh excl.db</v>
      </c>
      <c r="B40" s="282" t="s">
        <v>235</v>
      </c>
      <c r="C40" s="120" t="s">
        <v>3196</v>
      </c>
      <c r="D40" s="434" t="str">
        <f t="shared" si="1"/>
        <v>V432 VPT 3vg incl.bh excl.db</v>
      </c>
      <c r="E40" s="122">
        <v>115.46805264508852</v>
      </c>
      <c r="F40" s="122">
        <v>0</v>
      </c>
      <c r="G40" s="122">
        <v>0</v>
      </c>
      <c r="H40" s="122">
        <v>0</v>
      </c>
      <c r="I40" s="128">
        <v>115.46805264508852</v>
      </c>
    </row>
    <row r="41" spans="1:9" ht="15" x14ac:dyDescent="0.25">
      <c r="A41" s="124" t="str">
        <f t="shared" si="0"/>
        <v>VPT 4vg incl.bh excl.db</v>
      </c>
      <c r="B41" s="282" t="s">
        <v>318</v>
      </c>
      <c r="C41" s="120" t="s">
        <v>3197</v>
      </c>
      <c r="D41" s="434" t="str">
        <f t="shared" si="1"/>
        <v>V442 VPT 4vg incl.bh excl.db</v>
      </c>
      <c r="E41" s="122">
        <v>152.13073370320529</v>
      </c>
      <c r="F41" s="122">
        <v>0</v>
      </c>
      <c r="G41" s="122">
        <v>0</v>
      </c>
      <c r="H41" s="122">
        <v>0</v>
      </c>
      <c r="I41" s="128">
        <v>152.13073370320529</v>
      </c>
    </row>
    <row r="42" spans="1:9" ht="15" x14ac:dyDescent="0.25">
      <c r="A42" s="124" t="str">
        <f t="shared" si="0"/>
        <v>VPT 5vg incl.bh excl.db</v>
      </c>
      <c r="B42" s="282" t="s">
        <v>202</v>
      </c>
      <c r="C42" s="120" t="s">
        <v>3198</v>
      </c>
      <c r="D42" s="434" t="str">
        <f t="shared" si="1"/>
        <v>V456 VPT 5vg incl.bh excl.db</v>
      </c>
      <c r="E42" s="122">
        <v>184.47737520901404</v>
      </c>
      <c r="F42" s="122">
        <v>0</v>
      </c>
      <c r="G42" s="122">
        <v>0</v>
      </c>
      <c r="H42" s="122">
        <v>0</v>
      </c>
      <c r="I42" s="128">
        <v>184.47737520901404</v>
      </c>
    </row>
    <row r="43" spans="1:9" ht="15" x14ac:dyDescent="0.25">
      <c r="A43" s="124" t="str">
        <f t="shared" si="0"/>
        <v>VPT 6vg incl.bh excl.db</v>
      </c>
      <c r="B43" s="282" t="s">
        <v>64</v>
      </c>
      <c r="C43" s="120" t="s">
        <v>3199</v>
      </c>
      <c r="D43" s="434" t="str">
        <f t="shared" si="1"/>
        <v>V462 VPT 6vg incl.bh excl.db</v>
      </c>
      <c r="E43" s="122">
        <v>161.16430097526481</v>
      </c>
      <c r="F43" s="122">
        <v>0</v>
      </c>
      <c r="G43" s="122">
        <v>0</v>
      </c>
      <c r="H43" s="122">
        <v>0</v>
      </c>
      <c r="I43" s="128">
        <v>161.16430097526481</v>
      </c>
    </row>
    <row r="44" spans="1:9" ht="15" x14ac:dyDescent="0.25">
      <c r="A44" s="124" t="str">
        <f t="shared" si="0"/>
        <v>VPT 7vg incl.bh excl.db</v>
      </c>
      <c r="B44" s="282" t="s">
        <v>329</v>
      </c>
      <c r="C44" s="120" t="s">
        <v>3200</v>
      </c>
      <c r="D44" s="434" t="str">
        <f t="shared" si="1"/>
        <v>V472 VPT 7vg incl.bh excl.db</v>
      </c>
      <c r="E44" s="122">
        <v>239.27611006464548</v>
      </c>
      <c r="F44" s="122">
        <v>0</v>
      </c>
      <c r="G44" s="122">
        <v>0</v>
      </c>
      <c r="H44" s="122">
        <v>0</v>
      </c>
      <c r="I44" s="128">
        <v>239.27611006464548</v>
      </c>
    </row>
    <row r="45" spans="1:9" ht="15" x14ac:dyDescent="0.25">
      <c r="A45" s="124" t="str">
        <f t="shared" si="0"/>
        <v>VPT 8vg incl.bh excl.db</v>
      </c>
      <c r="B45" s="282" t="s">
        <v>282</v>
      </c>
      <c r="C45" s="120" t="s">
        <v>3201</v>
      </c>
      <c r="D45" s="434" t="str">
        <f t="shared" si="1"/>
        <v>V482 VPT 8vg incl.bh excl.db</v>
      </c>
      <c r="E45" s="122">
        <v>223.72966023292321</v>
      </c>
      <c r="F45" s="122">
        <v>0</v>
      </c>
      <c r="G45" s="122">
        <v>0</v>
      </c>
      <c r="H45" s="122">
        <v>0</v>
      </c>
      <c r="I45" s="128">
        <v>223.72966023292321</v>
      </c>
    </row>
    <row r="46" spans="1:9" ht="15" x14ac:dyDescent="0.25">
      <c r="A46" s="124" t="str">
        <f t="shared" si="0"/>
        <v>VPT 3vg incl.bh incl.db</v>
      </c>
      <c r="B46" s="282" t="s">
        <v>300</v>
      </c>
      <c r="C46" s="120" t="s">
        <v>3202</v>
      </c>
      <c r="D46" s="434" t="str">
        <f t="shared" si="1"/>
        <v>V433 VPT 3vg incl.bh incl.db</v>
      </c>
      <c r="E46" s="122">
        <v>146.24675128844842</v>
      </c>
      <c r="F46" s="122">
        <v>7.4699999999999989</v>
      </c>
      <c r="G46" s="122">
        <v>0.99</v>
      </c>
      <c r="H46" s="122">
        <v>0</v>
      </c>
      <c r="I46" s="128">
        <v>154.70675128844843</v>
      </c>
    </row>
    <row r="47" spans="1:9" ht="15" x14ac:dyDescent="0.25">
      <c r="A47" s="124" t="str">
        <f t="shared" si="0"/>
        <v>VPT 4vg incl.bh incl.db</v>
      </c>
      <c r="B47" s="282" t="s">
        <v>105</v>
      </c>
      <c r="C47" s="120" t="s">
        <v>3203</v>
      </c>
      <c r="D47" s="434" t="str">
        <f t="shared" si="1"/>
        <v>V443 VPT 4vg incl.bh incl.db</v>
      </c>
      <c r="E47" s="122">
        <v>170.905905623482</v>
      </c>
      <c r="F47" s="122">
        <v>7.4699999999999989</v>
      </c>
      <c r="G47" s="122">
        <v>0.99</v>
      </c>
      <c r="H47" s="122">
        <v>0</v>
      </c>
      <c r="I47" s="128">
        <v>179.36590562348201</v>
      </c>
    </row>
    <row r="48" spans="1:9" ht="15" x14ac:dyDescent="0.25">
      <c r="A48" s="124" t="str">
        <f t="shared" si="0"/>
        <v>VPT 5vg incl.bh incl.db</v>
      </c>
      <c r="B48" s="282" t="s">
        <v>350</v>
      </c>
      <c r="C48" s="120" t="s">
        <v>3204</v>
      </c>
      <c r="D48" s="434" t="str">
        <f t="shared" si="1"/>
        <v>V457 VPT 5vg incl.bh incl.db</v>
      </c>
      <c r="E48" s="122">
        <v>235.40695216184713</v>
      </c>
      <c r="F48" s="122">
        <v>8.89</v>
      </c>
      <c r="G48" s="122">
        <v>0.85</v>
      </c>
      <c r="H48" s="122">
        <v>0</v>
      </c>
      <c r="I48" s="128">
        <v>245.14695216184711</v>
      </c>
    </row>
    <row r="49" spans="1:9" ht="15" x14ac:dyDescent="0.25">
      <c r="A49" s="124" t="str">
        <f t="shared" si="0"/>
        <v>VPT 6vg incl.bh incl.db</v>
      </c>
      <c r="B49" s="282" t="s">
        <v>223</v>
      </c>
      <c r="C49" s="120" t="s">
        <v>3205</v>
      </c>
      <c r="D49" s="434" t="str">
        <f t="shared" si="1"/>
        <v>V463 VPT 6vg incl.bh incl.db</v>
      </c>
      <c r="E49" s="122">
        <v>199.03965302995925</v>
      </c>
      <c r="F49" s="122">
        <v>8.89</v>
      </c>
      <c r="G49" s="122">
        <v>0.83</v>
      </c>
      <c r="H49" s="122">
        <v>0</v>
      </c>
      <c r="I49" s="128">
        <v>208.75965302995925</v>
      </c>
    </row>
    <row r="50" spans="1:9" ht="15" x14ac:dyDescent="0.25">
      <c r="A50" s="124" t="str">
        <f t="shared" si="0"/>
        <v>VPT 7vg incl.bh incl.db</v>
      </c>
      <c r="B50" s="282" t="s">
        <v>183</v>
      </c>
      <c r="C50" s="120" t="s">
        <v>3206</v>
      </c>
      <c r="D50" s="434" t="str">
        <f t="shared" si="1"/>
        <v>V473 VPT 7vg incl.bh incl.db</v>
      </c>
      <c r="E50" s="122">
        <v>228.6290383324536</v>
      </c>
      <c r="F50" s="122">
        <v>8.89</v>
      </c>
      <c r="G50" s="122">
        <v>0.84</v>
      </c>
      <c r="H50" s="122">
        <v>0</v>
      </c>
      <c r="I50" s="128">
        <v>238.35903833245359</v>
      </c>
    </row>
    <row r="51" spans="1:9" ht="15" x14ac:dyDescent="0.25">
      <c r="A51" s="124" t="str">
        <f t="shared" si="0"/>
        <v>VPT 8vg incl.bh incl.db</v>
      </c>
      <c r="B51" s="282" t="s">
        <v>352</v>
      </c>
      <c r="C51" s="120" t="s">
        <v>3207</v>
      </c>
      <c r="D51" s="434" t="str">
        <f t="shared" si="1"/>
        <v>V483 VPT 8vg incl.bh incl.db</v>
      </c>
      <c r="E51" s="122">
        <v>290.39622393979738</v>
      </c>
      <c r="F51" s="122">
        <v>10.79</v>
      </c>
      <c r="G51" s="122">
        <v>0.85</v>
      </c>
      <c r="H51" s="122">
        <v>0</v>
      </c>
      <c r="I51" s="128">
        <v>302.03622393979742</v>
      </c>
    </row>
    <row r="52" spans="1:9" ht="15" x14ac:dyDescent="0.25">
      <c r="A52" s="124" t="str">
        <f t="shared" si="0"/>
        <v>VPT 1lvg incl.bh incl.db</v>
      </c>
      <c r="B52" s="282" t="s">
        <v>126</v>
      </c>
      <c r="C52" s="120" t="s">
        <v>3208</v>
      </c>
      <c r="D52" s="434" t="str">
        <f t="shared" si="1"/>
        <v>V513 VPT 1lvg incl.bh incl.db</v>
      </c>
      <c r="E52" s="122">
        <v>181.71156252222264</v>
      </c>
      <c r="F52" s="122">
        <v>0</v>
      </c>
      <c r="G52" s="122">
        <v>0</v>
      </c>
      <c r="H52" s="122">
        <v>0</v>
      </c>
      <c r="I52" s="128">
        <v>181.71156252222264</v>
      </c>
    </row>
    <row r="53" spans="1:9" ht="15" x14ac:dyDescent="0.25">
      <c r="A53" s="124" t="str">
        <f t="shared" si="0"/>
        <v>VPT 2lvg incl.bh incl.db</v>
      </c>
      <c r="B53" s="282" t="s">
        <v>257</v>
      </c>
      <c r="C53" s="120" t="s">
        <v>3209</v>
      </c>
      <c r="D53" s="434" t="str">
        <f t="shared" si="1"/>
        <v>V523 VPT 2lvg incl.bh incl.db</v>
      </c>
      <c r="E53" s="122">
        <v>223.02982540497803</v>
      </c>
      <c r="F53" s="122">
        <v>0</v>
      </c>
      <c r="G53" s="122">
        <v>0</v>
      </c>
      <c r="H53" s="122">
        <v>0</v>
      </c>
      <c r="I53" s="128">
        <v>223.02982540497803</v>
      </c>
    </row>
    <row r="54" spans="1:9" ht="15" x14ac:dyDescent="0.25">
      <c r="A54" s="124" t="str">
        <f t="shared" si="0"/>
        <v>VPT 3lvg incl.bh incl.db</v>
      </c>
      <c r="B54" s="282" t="s">
        <v>272</v>
      </c>
      <c r="C54" s="120" t="s">
        <v>3210</v>
      </c>
      <c r="D54" s="434" t="str">
        <f t="shared" si="1"/>
        <v>V533 VPT 3lvg incl.bh incl.db</v>
      </c>
      <c r="E54" s="122">
        <v>288.0679873296308</v>
      </c>
      <c r="F54" s="122">
        <v>0</v>
      </c>
      <c r="G54" s="122">
        <v>0</v>
      </c>
      <c r="H54" s="122">
        <v>0</v>
      </c>
      <c r="I54" s="128">
        <v>288.0679873296308</v>
      </c>
    </row>
    <row r="55" spans="1:9" ht="15" x14ac:dyDescent="0.25">
      <c r="A55" s="124" t="str">
        <f t="shared" si="0"/>
        <v>VPT 4lvg incl.bh incl.db</v>
      </c>
      <c r="B55" s="282" t="s">
        <v>241</v>
      </c>
      <c r="C55" s="120" t="s">
        <v>3211</v>
      </c>
      <c r="D55" s="434" t="str">
        <f t="shared" si="1"/>
        <v>V543 VPT 4lvg incl.bh incl.db</v>
      </c>
      <c r="E55" s="122">
        <v>336.20734898974183</v>
      </c>
      <c r="F55" s="122">
        <v>0</v>
      </c>
      <c r="G55" s="122">
        <v>0</v>
      </c>
      <c r="H55" s="122">
        <v>0</v>
      </c>
      <c r="I55" s="128">
        <v>336.20734898974183</v>
      </c>
    </row>
    <row r="56" spans="1:9" ht="15" x14ac:dyDescent="0.25">
      <c r="A56" s="124" t="str">
        <f t="shared" si="0"/>
        <v>VPT 5lvg incl.bh incl.db</v>
      </c>
      <c r="B56" s="282" t="s">
        <v>206</v>
      </c>
      <c r="C56" s="120" t="s">
        <v>3212</v>
      </c>
      <c r="D56" s="434" t="str">
        <f t="shared" si="1"/>
        <v>V553 VPT 5lvg incl.bh incl.db</v>
      </c>
      <c r="E56" s="122">
        <v>318.4879602792123</v>
      </c>
      <c r="F56" s="122">
        <v>0</v>
      </c>
      <c r="G56" s="122">
        <v>0</v>
      </c>
      <c r="H56" s="122">
        <v>0</v>
      </c>
      <c r="I56" s="128">
        <v>318.4879602792123</v>
      </c>
    </row>
    <row r="57" spans="1:9" ht="15" x14ac:dyDescent="0.25">
      <c r="A57" s="124" t="str">
        <f t="shared" si="0"/>
        <v>VPT 1sglvg incl.bh incl.db</v>
      </c>
      <c r="B57" s="282" t="s">
        <v>566</v>
      </c>
      <c r="C57" s="120" t="s">
        <v>3213</v>
      </c>
      <c r="D57" s="434" t="str">
        <f t="shared" si="1"/>
        <v>V573 VPT 1sglvg incl.bh incl.db</v>
      </c>
      <c r="E57" s="122">
        <v>348.95</v>
      </c>
      <c r="F57" s="122">
        <v>0</v>
      </c>
      <c r="G57" s="122">
        <v>0</v>
      </c>
      <c r="H57" s="122">
        <v>0</v>
      </c>
      <c r="I57" s="128">
        <v>348.95</v>
      </c>
    </row>
    <row r="58" spans="1:9" ht="15" x14ac:dyDescent="0.25">
      <c r="A58" s="124" t="str">
        <f t="shared" si="0"/>
        <v>VPT 1lg excl.bh excl.db</v>
      </c>
      <c r="B58" s="282" t="s">
        <v>217</v>
      </c>
      <c r="C58" s="120" t="s">
        <v>3571</v>
      </c>
      <c r="D58" s="434" t="str">
        <f t="shared" si="1"/>
        <v>V614 VPT 1lg excl.bh excl.db</v>
      </c>
      <c r="E58" s="122">
        <v>80.184296978590254</v>
      </c>
      <c r="F58" s="122">
        <v>0</v>
      </c>
      <c r="G58" s="122">
        <v>0</v>
      </c>
      <c r="H58" s="122">
        <v>0</v>
      </c>
      <c r="I58" s="128">
        <v>80.184296978590254</v>
      </c>
    </row>
    <row r="59" spans="1:9" ht="15" x14ac:dyDescent="0.25">
      <c r="A59" s="124" t="str">
        <f t="shared" si="0"/>
        <v>VPT 2lg excl.bh excl.db</v>
      </c>
      <c r="B59" s="282" t="s">
        <v>123</v>
      </c>
      <c r="C59" s="120" t="s">
        <v>3572</v>
      </c>
      <c r="D59" s="434" t="str">
        <f t="shared" si="1"/>
        <v>V624 VPT 2lg excl.bh excl.db</v>
      </c>
      <c r="E59" s="122">
        <v>116.95853183103148</v>
      </c>
      <c r="F59" s="122">
        <v>0</v>
      </c>
      <c r="G59" s="122">
        <v>0</v>
      </c>
      <c r="H59" s="122">
        <v>0</v>
      </c>
      <c r="I59" s="128">
        <v>116.95853183103148</v>
      </c>
    </row>
    <row r="60" spans="1:9" ht="15" x14ac:dyDescent="0.25">
      <c r="A60" s="124" t="str">
        <f t="shared" si="0"/>
        <v>VPT 1lg excl.bh incl.db</v>
      </c>
      <c r="B60" s="282" t="s">
        <v>112</v>
      </c>
      <c r="C60" s="120" t="s">
        <v>3573</v>
      </c>
      <c r="D60" s="434" t="str">
        <f t="shared" si="1"/>
        <v>V615 VPT 1lg excl.bh incl.db</v>
      </c>
      <c r="E60" s="122">
        <v>128.54513266821516</v>
      </c>
      <c r="F60" s="122">
        <v>7.4699999999999989</v>
      </c>
      <c r="G60" s="122">
        <v>1.47</v>
      </c>
      <c r="H60" s="122">
        <v>0</v>
      </c>
      <c r="I60" s="128">
        <v>137.48513266821516</v>
      </c>
    </row>
    <row r="61" spans="1:9" ht="15" x14ac:dyDescent="0.25">
      <c r="A61" s="124" t="str">
        <f t="shared" si="0"/>
        <v>VPT 2lg excl.bh incl.db</v>
      </c>
      <c r="B61" s="282" t="s">
        <v>278</v>
      </c>
      <c r="C61" s="120" t="s">
        <v>3574</v>
      </c>
      <c r="D61" s="434" t="str">
        <f t="shared" si="1"/>
        <v>V625 VPT 2lg excl.bh incl.db</v>
      </c>
      <c r="E61" s="122">
        <v>154.89821857130852</v>
      </c>
      <c r="F61" s="122">
        <v>7.4699999999999989</v>
      </c>
      <c r="G61" s="122">
        <v>1.47</v>
      </c>
      <c r="H61" s="122">
        <v>0</v>
      </c>
      <c r="I61" s="128">
        <v>163.83821857130852</v>
      </c>
    </row>
    <row r="62" spans="1:9" ht="15" x14ac:dyDescent="0.25">
      <c r="A62" s="124" t="str">
        <f t="shared" si="0"/>
        <v>VPT 3lg excl.bh excl.db</v>
      </c>
      <c r="B62" s="282" t="s">
        <v>255</v>
      </c>
      <c r="C62" s="120" t="s">
        <v>3218</v>
      </c>
      <c r="D62" s="434" t="str">
        <f t="shared" si="1"/>
        <v>V630 VPT 3lg excl.bh excl.db</v>
      </c>
      <c r="E62" s="122">
        <v>90.655774999477799</v>
      </c>
      <c r="F62" s="122">
        <v>0</v>
      </c>
      <c r="G62" s="122">
        <v>0</v>
      </c>
      <c r="H62" s="122">
        <v>0</v>
      </c>
      <c r="I62" s="128">
        <v>90.655774999477799</v>
      </c>
    </row>
    <row r="63" spans="1:9" ht="15" x14ac:dyDescent="0.25">
      <c r="A63" s="124" t="str">
        <f t="shared" si="0"/>
        <v>VPT 4lg excl.bh excl.db</v>
      </c>
      <c r="B63" s="282" t="s">
        <v>343</v>
      </c>
      <c r="C63" s="120" t="s">
        <v>3219</v>
      </c>
      <c r="D63" s="434" t="str">
        <f t="shared" si="1"/>
        <v>V640 VPT 4lg excl.bh excl.db</v>
      </c>
      <c r="E63" s="122">
        <v>142.10788125402721</v>
      </c>
      <c r="F63" s="122">
        <v>0</v>
      </c>
      <c r="G63" s="122">
        <v>0</v>
      </c>
      <c r="H63" s="122">
        <v>0</v>
      </c>
      <c r="I63" s="128">
        <v>142.10788125402721</v>
      </c>
    </row>
    <row r="64" spans="1:9" ht="15" x14ac:dyDescent="0.25">
      <c r="A64" s="124" t="str">
        <f t="shared" si="0"/>
        <v>VPT 5lg excl.bh excl.db</v>
      </c>
      <c r="B64" s="282" t="s">
        <v>143</v>
      </c>
      <c r="C64" s="120" t="s">
        <v>3220</v>
      </c>
      <c r="D64" s="434" t="str">
        <f t="shared" si="1"/>
        <v>V650 VPT 5lg excl.bh excl.db</v>
      </c>
      <c r="E64" s="122">
        <v>143.71202121814392</v>
      </c>
      <c r="F64" s="122">
        <v>0</v>
      </c>
      <c r="G64" s="122">
        <v>0</v>
      </c>
      <c r="H64" s="122">
        <v>0</v>
      </c>
      <c r="I64" s="128">
        <v>143.71202121814392</v>
      </c>
    </row>
    <row r="65" spans="1:9" ht="15" x14ac:dyDescent="0.25">
      <c r="A65" s="124" t="str">
        <f t="shared" si="0"/>
        <v>VPT 6lg excl.bh excl.db</v>
      </c>
      <c r="B65" s="282" t="s">
        <v>228</v>
      </c>
      <c r="C65" s="120" t="s">
        <v>3221</v>
      </c>
      <c r="D65" s="434" t="str">
        <f t="shared" si="1"/>
        <v>V660 VPT 6lg excl.bh excl.db</v>
      </c>
      <c r="E65" s="122">
        <v>199.55888424457731</v>
      </c>
      <c r="F65" s="122">
        <v>0</v>
      </c>
      <c r="G65" s="122">
        <v>0</v>
      </c>
      <c r="H65" s="122">
        <v>0</v>
      </c>
      <c r="I65" s="128">
        <v>199.55888424457731</v>
      </c>
    </row>
    <row r="66" spans="1:9" ht="15" x14ac:dyDescent="0.25">
      <c r="A66" s="124" t="str">
        <f t="shared" si="0"/>
        <v>VPT 7lg excl.bh excl.db</v>
      </c>
      <c r="B66" s="282" t="s">
        <v>162</v>
      </c>
      <c r="C66" s="120" t="s">
        <v>3222</v>
      </c>
      <c r="D66" s="434" t="str">
        <f t="shared" si="1"/>
        <v>V670 VPT 7lg excl.bh excl.db</v>
      </c>
      <c r="E66" s="122">
        <v>226.16216367750789</v>
      </c>
      <c r="F66" s="122">
        <v>0</v>
      </c>
      <c r="G66" s="122">
        <v>0</v>
      </c>
      <c r="H66" s="122">
        <v>0</v>
      </c>
      <c r="I66" s="128">
        <v>226.16216367750789</v>
      </c>
    </row>
    <row r="67" spans="1:9" ht="15" x14ac:dyDescent="0.25">
      <c r="A67" s="124" t="str">
        <f t="shared" si="0"/>
        <v>VPT 3lg excl.bh incl.db</v>
      </c>
      <c r="B67" s="282" t="s">
        <v>137</v>
      </c>
      <c r="C67" s="120" t="s">
        <v>3223</v>
      </c>
      <c r="D67" s="434" t="str">
        <f t="shared" si="1"/>
        <v>V631 VPT 3lg excl.bh incl.db</v>
      </c>
      <c r="E67" s="122">
        <v>141.51595914004182</v>
      </c>
      <c r="F67" s="122">
        <v>7.4699999999999989</v>
      </c>
      <c r="G67" s="122">
        <v>1.47</v>
      </c>
      <c r="H67" s="122">
        <v>0</v>
      </c>
      <c r="I67" s="128">
        <v>150.45595914004181</v>
      </c>
    </row>
    <row r="68" spans="1:9" ht="15" x14ac:dyDescent="0.25">
      <c r="A68" s="124" t="str">
        <f t="shared" si="0"/>
        <v>VPT 4lg excl.bh incl.db</v>
      </c>
      <c r="B68" s="282" t="s">
        <v>337</v>
      </c>
      <c r="C68" s="120" t="s">
        <v>3224</v>
      </c>
      <c r="D68" s="434" t="str">
        <f t="shared" si="1"/>
        <v>V641 VPT 4lg excl.bh incl.db</v>
      </c>
      <c r="E68" s="122">
        <v>181.53142705547108</v>
      </c>
      <c r="F68" s="122">
        <v>7.4699999999999989</v>
      </c>
      <c r="G68" s="122">
        <v>1.47</v>
      </c>
      <c r="H68" s="122">
        <v>0</v>
      </c>
      <c r="I68" s="128">
        <v>190.47142705547108</v>
      </c>
    </row>
    <row r="69" spans="1:9" ht="15" x14ac:dyDescent="0.25">
      <c r="A69" s="124" t="str">
        <f t="shared" si="0"/>
        <v>VPT 5lg excl.bh incl.db</v>
      </c>
      <c r="B69" s="282" t="s">
        <v>156</v>
      </c>
      <c r="C69" s="120" t="s">
        <v>3225</v>
      </c>
      <c r="D69" s="434" t="str">
        <f t="shared" si="1"/>
        <v>V651 VPT 5lg excl.bh incl.db</v>
      </c>
      <c r="E69" s="122">
        <v>190.9997835789078</v>
      </c>
      <c r="F69" s="122">
        <v>8.889999999999997</v>
      </c>
      <c r="G69" s="122">
        <v>0.85</v>
      </c>
      <c r="H69" s="122">
        <v>0</v>
      </c>
      <c r="I69" s="128">
        <v>200.73978357890778</v>
      </c>
    </row>
    <row r="70" spans="1:9" ht="15" x14ac:dyDescent="0.25">
      <c r="A70" s="124" t="str">
        <f t="shared" si="0"/>
        <v>VPT 6lg excl.bh incl.db</v>
      </c>
      <c r="B70" s="282" t="s">
        <v>364</v>
      </c>
      <c r="C70" s="120" t="s">
        <v>3226</v>
      </c>
      <c r="D70" s="434" t="str">
        <f t="shared" si="1"/>
        <v>V661 VPT 6lg excl.bh incl.db</v>
      </c>
      <c r="E70" s="122">
        <v>233.87635082370002</v>
      </c>
      <c r="F70" s="122">
        <v>10.79</v>
      </c>
      <c r="G70" s="122">
        <v>0.85</v>
      </c>
      <c r="H70" s="122">
        <v>0</v>
      </c>
      <c r="I70" s="128">
        <v>245.51635082370001</v>
      </c>
    </row>
    <row r="71" spans="1:9" ht="15" x14ac:dyDescent="0.25">
      <c r="A71" s="124" t="str">
        <f t="shared" ref="A71:A134" si="2">SUBSTITUTE(C71,"ZZP","VPT")</f>
        <v>VPT 7lg excl.bh incl.db</v>
      </c>
      <c r="B71" s="282" t="s">
        <v>68</v>
      </c>
      <c r="C71" s="120" t="s">
        <v>3227</v>
      </c>
      <c r="D71" s="434" t="str">
        <f t="shared" ref="D71:D134" si="3">CONCATENATE(B71," ",A71)</f>
        <v>V671 VPT 7lg excl.bh incl.db</v>
      </c>
      <c r="E71" s="122">
        <v>262.14000006019205</v>
      </c>
      <c r="F71" s="122">
        <v>10.79</v>
      </c>
      <c r="G71" s="122">
        <v>0.85</v>
      </c>
      <c r="H71" s="122">
        <v>0</v>
      </c>
      <c r="I71" s="128">
        <v>273.78000006019209</v>
      </c>
    </row>
    <row r="72" spans="1:9" ht="15" x14ac:dyDescent="0.25">
      <c r="A72" s="124" t="str">
        <f t="shared" si="2"/>
        <v>VPT 3lg incl.bh excl.db</v>
      </c>
      <c r="B72" s="282" t="s">
        <v>181</v>
      </c>
      <c r="C72" s="120" t="s">
        <v>3228</v>
      </c>
      <c r="D72" s="434" t="str">
        <f t="shared" si="3"/>
        <v>V632 VPT 3lg incl.bh excl.db</v>
      </c>
      <c r="E72" s="122">
        <v>113.98401609027584</v>
      </c>
      <c r="F72" s="122">
        <v>0</v>
      </c>
      <c r="G72" s="122">
        <v>0</v>
      </c>
      <c r="H72" s="122">
        <v>0</v>
      </c>
      <c r="I72" s="128">
        <v>113.98401609027584</v>
      </c>
    </row>
    <row r="73" spans="1:9" ht="15" x14ac:dyDescent="0.25">
      <c r="A73" s="124" t="str">
        <f t="shared" si="2"/>
        <v>VPT 4lg incl.bh excl.db</v>
      </c>
      <c r="B73" s="282" t="s">
        <v>233</v>
      </c>
      <c r="C73" s="120" t="s">
        <v>3229</v>
      </c>
      <c r="D73" s="434" t="str">
        <f t="shared" si="3"/>
        <v>V642 VPT 4lg incl.bh excl.db</v>
      </c>
      <c r="E73" s="122">
        <v>178.61620771845716</v>
      </c>
      <c r="F73" s="122">
        <v>0</v>
      </c>
      <c r="G73" s="122">
        <v>0</v>
      </c>
      <c r="H73" s="122">
        <v>0</v>
      </c>
      <c r="I73" s="128">
        <v>178.61620771845716</v>
      </c>
    </row>
    <row r="74" spans="1:9" ht="15" x14ac:dyDescent="0.25">
      <c r="A74" s="124" t="str">
        <f t="shared" si="2"/>
        <v>VPT 5lg incl.bh excl.db</v>
      </c>
      <c r="B74" s="282" t="s">
        <v>155</v>
      </c>
      <c r="C74" s="120" t="s">
        <v>3230</v>
      </c>
      <c r="D74" s="434" t="str">
        <f t="shared" si="3"/>
        <v>V652 VPT 5lg incl.bh excl.db</v>
      </c>
      <c r="E74" s="122">
        <v>181.07415678270959</v>
      </c>
      <c r="F74" s="122">
        <v>0</v>
      </c>
      <c r="G74" s="122">
        <v>0</v>
      </c>
      <c r="H74" s="122">
        <v>0</v>
      </c>
      <c r="I74" s="128">
        <v>181.07415678270959</v>
      </c>
    </row>
    <row r="75" spans="1:9" ht="15" x14ac:dyDescent="0.25">
      <c r="A75" s="124" t="str">
        <f t="shared" si="2"/>
        <v>VPT 6lg incl.bh excl.db</v>
      </c>
      <c r="B75" s="282" t="s">
        <v>380</v>
      </c>
      <c r="C75" s="120" t="s">
        <v>3231</v>
      </c>
      <c r="D75" s="434" t="str">
        <f t="shared" si="3"/>
        <v>V662 VPT 6lg incl.bh excl.db</v>
      </c>
      <c r="E75" s="122">
        <v>250.41121228386868</v>
      </c>
      <c r="F75" s="122">
        <v>0</v>
      </c>
      <c r="G75" s="122">
        <v>0</v>
      </c>
      <c r="H75" s="122">
        <v>0</v>
      </c>
      <c r="I75" s="128">
        <v>250.41121228386868</v>
      </c>
    </row>
    <row r="76" spans="1:9" ht="15" x14ac:dyDescent="0.25">
      <c r="A76" s="124" t="str">
        <f t="shared" si="2"/>
        <v>VPT 7lg incl.bh excl.db</v>
      </c>
      <c r="B76" s="282" t="s">
        <v>178</v>
      </c>
      <c r="C76" s="120" t="s">
        <v>3232</v>
      </c>
      <c r="D76" s="434" t="str">
        <f t="shared" si="3"/>
        <v>V672 VPT 7lg incl.bh excl.db</v>
      </c>
      <c r="E76" s="122">
        <v>280.48510418164119</v>
      </c>
      <c r="F76" s="122">
        <v>0</v>
      </c>
      <c r="G76" s="122">
        <v>0</v>
      </c>
      <c r="H76" s="122">
        <v>0</v>
      </c>
      <c r="I76" s="128">
        <v>280.48510418164119</v>
      </c>
    </row>
    <row r="77" spans="1:9" ht="15" x14ac:dyDescent="0.25">
      <c r="A77" s="124" t="str">
        <f t="shared" si="2"/>
        <v>VPT 3lg incl.bh incl.db</v>
      </c>
      <c r="B77" s="282" t="s">
        <v>301</v>
      </c>
      <c r="C77" s="120" t="s">
        <v>3233</v>
      </c>
      <c r="D77" s="434" t="str">
        <f t="shared" si="3"/>
        <v>V633 VPT 3lg incl.bh incl.db</v>
      </c>
      <c r="E77" s="122">
        <v>161.07794389718569</v>
      </c>
      <c r="F77" s="122">
        <v>7.4699999999999989</v>
      </c>
      <c r="G77" s="122">
        <v>1.47</v>
      </c>
      <c r="H77" s="122">
        <v>0</v>
      </c>
      <c r="I77" s="128">
        <v>170.01794389718569</v>
      </c>
    </row>
    <row r="78" spans="1:9" ht="15" x14ac:dyDescent="0.25">
      <c r="A78" s="124" t="str">
        <f t="shared" si="2"/>
        <v>VPT 4lg incl.bh incl.db</v>
      </c>
      <c r="B78" s="282" t="s">
        <v>273</v>
      </c>
      <c r="C78" s="120" t="s">
        <v>3234</v>
      </c>
      <c r="D78" s="434" t="str">
        <f t="shared" si="3"/>
        <v>V643 VPT 4lg incl.bh incl.db</v>
      </c>
      <c r="E78" s="122">
        <v>203.46177719969586</v>
      </c>
      <c r="F78" s="122">
        <v>7.4699999999999989</v>
      </c>
      <c r="G78" s="122">
        <v>1.47</v>
      </c>
      <c r="H78" s="122">
        <v>0</v>
      </c>
      <c r="I78" s="128">
        <v>212.40177719969586</v>
      </c>
    </row>
    <row r="79" spans="1:9" ht="15" x14ac:dyDescent="0.25">
      <c r="A79" s="124" t="str">
        <f t="shared" si="2"/>
        <v>VPT 5lg incl.bh incl.db</v>
      </c>
      <c r="B79" s="282" t="s">
        <v>165</v>
      </c>
      <c r="C79" s="120" t="s">
        <v>3235</v>
      </c>
      <c r="D79" s="434" t="str">
        <f t="shared" si="3"/>
        <v>V653 VPT 5lg incl.bh incl.db</v>
      </c>
      <c r="E79" s="122">
        <v>227.35812003179637</v>
      </c>
      <c r="F79" s="122">
        <v>8.889999999999997</v>
      </c>
      <c r="G79" s="122">
        <v>0.85</v>
      </c>
      <c r="H79" s="122">
        <v>0</v>
      </c>
      <c r="I79" s="128">
        <v>237.09812003179636</v>
      </c>
    </row>
    <row r="80" spans="1:9" ht="15" x14ac:dyDescent="0.25">
      <c r="A80" s="124" t="str">
        <f t="shared" si="2"/>
        <v>VPT 6lg incl.bh incl.db</v>
      </c>
      <c r="B80" s="282" t="s">
        <v>289</v>
      </c>
      <c r="C80" s="120" t="s">
        <v>3236</v>
      </c>
      <c r="D80" s="434" t="str">
        <f t="shared" si="3"/>
        <v>V663 VPT 6lg incl.bh incl.db</v>
      </c>
      <c r="E80" s="122">
        <v>285.93188949870438</v>
      </c>
      <c r="F80" s="122">
        <v>10.79</v>
      </c>
      <c r="G80" s="122">
        <v>0.85</v>
      </c>
      <c r="H80" s="122">
        <v>0</v>
      </c>
      <c r="I80" s="128">
        <v>297.57188949870442</v>
      </c>
    </row>
    <row r="81" spans="1:9" ht="15" x14ac:dyDescent="0.25">
      <c r="A81" s="124" t="str">
        <f t="shared" si="2"/>
        <v>VPT 7lg incl.bh incl.db</v>
      </c>
      <c r="B81" s="282" t="s">
        <v>134</v>
      </c>
      <c r="C81" s="120" t="s">
        <v>3237</v>
      </c>
      <c r="D81" s="434" t="str">
        <f t="shared" si="3"/>
        <v>V673 VPT 7lg incl.bh incl.db</v>
      </c>
      <c r="E81" s="122">
        <v>297.28912643792484</v>
      </c>
      <c r="F81" s="122">
        <v>10.79</v>
      </c>
      <c r="G81" s="122">
        <v>0.85</v>
      </c>
      <c r="H81" s="122">
        <v>0</v>
      </c>
      <c r="I81" s="128">
        <v>308.92912643792488</v>
      </c>
    </row>
    <row r="82" spans="1:9" ht="15" x14ac:dyDescent="0.25">
      <c r="A82" s="124" t="str">
        <f t="shared" si="2"/>
        <v>VPT 1zg-auditief excl.bh excl.db</v>
      </c>
      <c r="B82" s="282" t="s">
        <v>360</v>
      </c>
      <c r="C82" s="120" t="s">
        <v>3238</v>
      </c>
      <c r="D82" s="434" t="str">
        <f t="shared" si="3"/>
        <v>V710 VPT 1zg-auditief excl.bh excl.db</v>
      </c>
      <c r="E82" s="122">
        <v>135.04180612422513</v>
      </c>
      <c r="F82" s="122">
        <v>0</v>
      </c>
      <c r="G82" s="122">
        <v>0</v>
      </c>
      <c r="H82" s="122">
        <v>0</v>
      </c>
      <c r="I82" s="128">
        <v>135.04180612422513</v>
      </c>
    </row>
    <row r="83" spans="1:9" ht="15" x14ac:dyDescent="0.25">
      <c r="A83" s="124" t="str">
        <f t="shared" si="2"/>
        <v>VPT 2zg-auditief excl.bh excl.db</v>
      </c>
      <c r="B83" s="282" t="s">
        <v>173</v>
      </c>
      <c r="C83" s="120" t="s">
        <v>3239</v>
      </c>
      <c r="D83" s="434" t="str">
        <f t="shared" si="3"/>
        <v>V720 VPT 2zg-auditief excl.bh excl.db</v>
      </c>
      <c r="E83" s="122">
        <v>275.89979500224422</v>
      </c>
      <c r="F83" s="122">
        <v>0</v>
      </c>
      <c r="G83" s="122">
        <v>0</v>
      </c>
      <c r="H83" s="122">
        <v>0</v>
      </c>
      <c r="I83" s="128">
        <v>275.89979500224422</v>
      </c>
    </row>
    <row r="84" spans="1:9" ht="15" x14ac:dyDescent="0.25">
      <c r="A84" s="124" t="str">
        <f t="shared" si="2"/>
        <v>VPT 3zg-auditief excl.bh excl.db</v>
      </c>
      <c r="B84" s="282" t="s">
        <v>195</v>
      </c>
      <c r="C84" s="120" t="s">
        <v>3240</v>
      </c>
      <c r="D84" s="434" t="str">
        <f t="shared" si="3"/>
        <v>V730 VPT 3zg-auditief excl.bh excl.db</v>
      </c>
      <c r="E84" s="122">
        <v>315.84149111145734</v>
      </c>
      <c r="F84" s="122">
        <v>0</v>
      </c>
      <c r="G84" s="122">
        <v>0</v>
      </c>
      <c r="H84" s="122">
        <v>0</v>
      </c>
      <c r="I84" s="128">
        <v>315.84149111145734</v>
      </c>
    </row>
    <row r="85" spans="1:9" ht="15" x14ac:dyDescent="0.25">
      <c r="A85" s="124" t="str">
        <f t="shared" si="2"/>
        <v>VPT 4zg-auditief excl.bh excl.db</v>
      </c>
      <c r="B85" s="282" t="s">
        <v>190</v>
      </c>
      <c r="C85" s="120" t="s">
        <v>3241</v>
      </c>
      <c r="D85" s="434" t="str">
        <f t="shared" si="3"/>
        <v>V740 VPT 4zg-auditief excl.bh excl.db</v>
      </c>
      <c r="E85" s="122">
        <v>162.69999999999999</v>
      </c>
      <c r="F85" s="122">
        <v>0</v>
      </c>
      <c r="G85" s="122">
        <v>0</v>
      </c>
      <c r="H85" s="122">
        <v>0</v>
      </c>
      <c r="I85" s="128">
        <v>162.69999999999999</v>
      </c>
    </row>
    <row r="86" spans="1:9" ht="15" x14ac:dyDescent="0.25">
      <c r="A86" s="124" t="str">
        <f t="shared" si="2"/>
        <v>VPT 1zg-auditief excl.bh incl.db</v>
      </c>
      <c r="B86" s="282" t="s">
        <v>65</v>
      </c>
      <c r="C86" s="120" t="s">
        <v>3242</v>
      </c>
      <c r="D86" s="434" t="str">
        <f t="shared" si="3"/>
        <v>V711 VPT 1zg-auditief excl.bh incl.db</v>
      </c>
      <c r="E86" s="122">
        <v>165.14595713082923</v>
      </c>
      <c r="F86" s="122">
        <v>7.4699999999999989</v>
      </c>
      <c r="G86" s="122">
        <v>1.24</v>
      </c>
      <c r="H86" s="122">
        <v>0</v>
      </c>
      <c r="I86" s="128">
        <v>173.85595713082924</v>
      </c>
    </row>
    <row r="87" spans="1:9" ht="15" x14ac:dyDescent="0.25">
      <c r="A87" s="124" t="str">
        <f t="shared" si="2"/>
        <v>VPT 2zg-auditief excl.bh incl.db</v>
      </c>
      <c r="B87" s="282" t="s">
        <v>88</v>
      </c>
      <c r="C87" s="120" t="s">
        <v>3243</v>
      </c>
      <c r="D87" s="434" t="str">
        <f t="shared" si="3"/>
        <v>V721 VPT 2zg-auditief excl.bh incl.db</v>
      </c>
      <c r="E87" s="122">
        <v>316.9515140437336</v>
      </c>
      <c r="F87" s="122">
        <v>7.4699999999999989</v>
      </c>
      <c r="G87" s="122">
        <v>1.24</v>
      </c>
      <c r="H87" s="122">
        <v>0</v>
      </c>
      <c r="I87" s="128">
        <v>325.66151404373363</v>
      </c>
    </row>
    <row r="88" spans="1:9" x14ac:dyDescent="0.3">
      <c r="A88" s="124" t="str">
        <f t="shared" si="2"/>
        <v>VPT 3zg-auditief excl.bh incl.db</v>
      </c>
      <c r="B88" s="282" t="s">
        <v>325</v>
      </c>
      <c r="C88" s="120" t="s">
        <v>3244</v>
      </c>
      <c r="D88" s="434" t="str">
        <f t="shared" si="3"/>
        <v>V731 VPT 3zg-auditief excl.bh incl.db</v>
      </c>
      <c r="E88" s="122">
        <v>348.70448837101065</v>
      </c>
      <c r="F88" s="122">
        <v>8.8999999999999986</v>
      </c>
      <c r="G88" s="122">
        <v>1.24</v>
      </c>
      <c r="H88" s="122">
        <v>0</v>
      </c>
      <c r="I88" s="128">
        <v>358.84448837101064</v>
      </c>
    </row>
    <row r="89" spans="1:9" x14ac:dyDescent="0.3">
      <c r="A89" s="124" t="str">
        <f t="shared" si="2"/>
        <v>VPT 4zg-auditief excl.bh incl.db</v>
      </c>
      <c r="B89" s="282" t="s">
        <v>264</v>
      </c>
      <c r="C89" s="120" t="s">
        <v>3245</v>
      </c>
      <c r="D89" s="434" t="str">
        <f t="shared" si="3"/>
        <v>V741 VPT 4zg-auditief excl.bh incl.db</v>
      </c>
      <c r="E89" s="122">
        <v>217.08</v>
      </c>
      <c r="F89" s="122">
        <v>7.4699999999999989</v>
      </c>
      <c r="G89" s="122">
        <v>1.24</v>
      </c>
      <c r="H89" s="122">
        <v>0</v>
      </c>
      <c r="I89" s="128">
        <v>225.79000000000002</v>
      </c>
    </row>
    <row r="90" spans="1:9" x14ac:dyDescent="0.3">
      <c r="A90" s="124" t="str">
        <f t="shared" si="2"/>
        <v>VPT 1zg-auditief incl.bh excl.db</v>
      </c>
      <c r="B90" s="282" t="s">
        <v>307</v>
      </c>
      <c r="C90" s="120" t="s">
        <v>3246</v>
      </c>
      <c r="D90" s="434" t="str">
        <f t="shared" si="3"/>
        <v>V712 VPT 1zg-auditief incl.bh excl.db</v>
      </c>
      <c r="E90" s="122">
        <v>127.50588740432228</v>
      </c>
      <c r="F90" s="122">
        <v>0</v>
      </c>
      <c r="G90" s="122">
        <v>0</v>
      </c>
      <c r="H90" s="122">
        <v>0</v>
      </c>
      <c r="I90" s="128">
        <v>127.50588740432228</v>
      </c>
    </row>
    <row r="91" spans="1:9" x14ac:dyDescent="0.3">
      <c r="A91" s="124" t="str">
        <f t="shared" si="2"/>
        <v>VPT 2zg-auditief incl.bh excl.db</v>
      </c>
      <c r="B91" s="282" t="s">
        <v>227</v>
      </c>
      <c r="C91" s="120" t="s">
        <v>3247</v>
      </c>
      <c r="D91" s="434" t="str">
        <f t="shared" si="3"/>
        <v>V722 VPT 2zg-auditief incl.bh excl.db</v>
      </c>
      <c r="E91" s="122">
        <v>280.23480789127456</v>
      </c>
      <c r="F91" s="122">
        <v>0</v>
      </c>
      <c r="G91" s="122">
        <v>0</v>
      </c>
      <c r="H91" s="122">
        <v>0</v>
      </c>
      <c r="I91" s="128">
        <v>280.23480789127456</v>
      </c>
    </row>
    <row r="92" spans="1:9" x14ac:dyDescent="0.3">
      <c r="A92" s="124" t="str">
        <f t="shared" si="2"/>
        <v>VPT 3zg-auditief incl.bh excl.db</v>
      </c>
      <c r="B92" s="282" t="s">
        <v>103</v>
      </c>
      <c r="C92" s="120" t="s">
        <v>3248</v>
      </c>
      <c r="D92" s="434" t="str">
        <f t="shared" si="3"/>
        <v>V732 VPT 3zg-auditief incl.bh excl.db</v>
      </c>
      <c r="E92" s="122">
        <v>322.12713810594664</v>
      </c>
      <c r="F92" s="122">
        <v>0</v>
      </c>
      <c r="G92" s="122">
        <v>0</v>
      </c>
      <c r="H92" s="122">
        <v>0</v>
      </c>
      <c r="I92" s="128">
        <v>322.12713810594664</v>
      </c>
    </row>
    <row r="93" spans="1:9" x14ac:dyDescent="0.3">
      <c r="A93" s="124" t="str">
        <f t="shared" si="2"/>
        <v>VPT 4zg-auditief incl.bh excl.db</v>
      </c>
      <c r="B93" s="282" t="s">
        <v>376</v>
      </c>
      <c r="C93" s="120" t="s">
        <v>3249</v>
      </c>
      <c r="D93" s="434" t="str">
        <f t="shared" si="3"/>
        <v>V742 VPT 4zg-auditief incl.bh excl.db</v>
      </c>
      <c r="E93" s="122">
        <v>186.02</v>
      </c>
      <c r="F93" s="122">
        <v>0</v>
      </c>
      <c r="G93" s="122">
        <v>0</v>
      </c>
      <c r="H93" s="122">
        <v>0</v>
      </c>
      <c r="I93" s="128">
        <v>186.02</v>
      </c>
    </row>
    <row r="94" spans="1:9" x14ac:dyDescent="0.3">
      <c r="A94" s="124" t="str">
        <f t="shared" si="2"/>
        <v>VPT 1zg-auditief incl.bh incl.db</v>
      </c>
      <c r="B94" s="282" t="s">
        <v>57</v>
      </c>
      <c r="C94" s="120" t="s">
        <v>3250</v>
      </c>
      <c r="D94" s="434" t="str">
        <f t="shared" si="3"/>
        <v>V713 VPT 1zg-auditief incl.bh incl.db</v>
      </c>
      <c r="E94" s="122">
        <v>172.56969869813094</v>
      </c>
      <c r="F94" s="122">
        <v>7.4699999999999989</v>
      </c>
      <c r="G94" s="122">
        <v>1.24</v>
      </c>
      <c r="H94" s="122">
        <v>0</v>
      </c>
      <c r="I94" s="128">
        <v>181.27969869813094</v>
      </c>
    </row>
    <row r="95" spans="1:9" x14ac:dyDescent="0.3">
      <c r="A95" s="124" t="str">
        <f t="shared" si="2"/>
        <v>VPT 2zg-auditief incl.bh incl.db</v>
      </c>
      <c r="B95" s="282" t="s">
        <v>186</v>
      </c>
      <c r="C95" s="120" t="s">
        <v>3251</v>
      </c>
      <c r="D95" s="434" t="str">
        <f t="shared" si="3"/>
        <v>V723 VPT 2zg-auditief incl.bh incl.db</v>
      </c>
      <c r="E95" s="122">
        <v>349.01230033712068</v>
      </c>
      <c r="F95" s="122">
        <v>7.4699999999999989</v>
      </c>
      <c r="G95" s="122">
        <v>1.24</v>
      </c>
      <c r="H95" s="122">
        <v>0</v>
      </c>
      <c r="I95" s="128">
        <v>357.72230033712071</v>
      </c>
    </row>
    <row r="96" spans="1:9" x14ac:dyDescent="0.3">
      <c r="A96" s="124" t="str">
        <f t="shared" si="2"/>
        <v>VPT 3zg-auditief incl.bh incl.db</v>
      </c>
      <c r="B96" s="282" t="s">
        <v>124</v>
      </c>
      <c r="C96" s="120" t="s">
        <v>3252</v>
      </c>
      <c r="D96" s="434" t="str">
        <f t="shared" si="3"/>
        <v>V733 VPT 3zg-auditief incl.bh incl.db</v>
      </c>
      <c r="E96" s="122">
        <v>412.04580807984308</v>
      </c>
      <c r="F96" s="122">
        <v>8.8999999999999986</v>
      </c>
      <c r="G96" s="122">
        <v>1.24</v>
      </c>
      <c r="H96" s="122">
        <v>0</v>
      </c>
      <c r="I96" s="128">
        <v>422.18580807984307</v>
      </c>
    </row>
    <row r="97" spans="1:9" x14ac:dyDescent="0.3">
      <c r="A97" s="124" t="str">
        <f t="shared" si="2"/>
        <v>VPT 4zg-auditief incl.bh incl.db</v>
      </c>
      <c r="B97" s="282" t="s">
        <v>336</v>
      </c>
      <c r="C97" s="120" t="s">
        <v>3253</v>
      </c>
      <c r="D97" s="434" t="str">
        <f t="shared" si="3"/>
        <v>V743 VPT 4zg-auditief incl.bh incl.db</v>
      </c>
      <c r="E97" s="122">
        <v>240.39</v>
      </c>
      <c r="F97" s="122">
        <v>7.4699999999999989</v>
      </c>
      <c r="G97" s="122">
        <v>1.24</v>
      </c>
      <c r="H97" s="122">
        <v>0</v>
      </c>
      <c r="I97" s="128">
        <v>249.1</v>
      </c>
    </row>
    <row r="98" spans="1:9" x14ac:dyDescent="0.3">
      <c r="A98" s="124" t="str">
        <f t="shared" si="2"/>
        <v>VPT 1zg-visueel excl.bh excl.db</v>
      </c>
      <c r="B98" s="282" t="s">
        <v>113</v>
      </c>
      <c r="C98" s="120" t="s">
        <v>3575</v>
      </c>
      <c r="D98" s="434" t="str">
        <f t="shared" si="3"/>
        <v>V814 VPT 1zg-visueel excl.bh excl.db</v>
      </c>
      <c r="E98" s="122">
        <v>74.63</v>
      </c>
      <c r="F98" s="122">
        <v>0</v>
      </c>
      <c r="G98" s="122">
        <v>0</v>
      </c>
      <c r="H98" s="122">
        <v>0</v>
      </c>
      <c r="I98" s="128">
        <v>74.63</v>
      </c>
    </row>
    <row r="99" spans="1:9" x14ac:dyDescent="0.3">
      <c r="A99" s="124" t="str">
        <f t="shared" si="2"/>
        <v>VPT 2zg-visueel excl.bh excl.db</v>
      </c>
      <c r="B99" s="282" t="s">
        <v>200</v>
      </c>
      <c r="C99" s="120" t="s">
        <v>3576</v>
      </c>
      <c r="D99" s="434" t="str">
        <f t="shared" si="3"/>
        <v>V824 VPT 2zg-visueel excl.bh excl.db</v>
      </c>
      <c r="E99" s="122">
        <v>110.64</v>
      </c>
      <c r="F99" s="122">
        <v>0</v>
      </c>
      <c r="G99" s="122">
        <v>0</v>
      </c>
      <c r="H99" s="122">
        <v>0</v>
      </c>
      <c r="I99" s="128">
        <v>110.64</v>
      </c>
    </row>
    <row r="100" spans="1:9" x14ac:dyDescent="0.3">
      <c r="A100" s="124" t="str">
        <f t="shared" si="2"/>
        <v>VPT 1zg-visueel excl.bh incl.db</v>
      </c>
      <c r="B100" s="282" t="s">
        <v>344</v>
      </c>
      <c r="C100" s="120" t="s">
        <v>3577</v>
      </c>
      <c r="D100" s="434" t="str">
        <f t="shared" si="3"/>
        <v>V815 VPT 1zg-visueel excl.bh incl.db</v>
      </c>
      <c r="E100" s="122">
        <v>119.94</v>
      </c>
      <c r="F100" s="122">
        <v>7.4699999999999989</v>
      </c>
      <c r="G100" s="122">
        <v>1.24</v>
      </c>
      <c r="H100" s="122">
        <v>0</v>
      </c>
      <c r="I100" s="128">
        <v>128.65</v>
      </c>
    </row>
    <row r="101" spans="1:9" x14ac:dyDescent="0.3">
      <c r="A101" s="124" t="str">
        <f t="shared" si="2"/>
        <v>VPT 2zg-visueel excl.bh incl.db</v>
      </c>
      <c r="B101" s="282" t="s">
        <v>248</v>
      </c>
      <c r="C101" s="120" t="s">
        <v>3578</v>
      </c>
      <c r="D101" s="434" t="str">
        <f t="shared" si="3"/>
        <v>V825 VPT 2zg-visueel excl.bh incl.db</v>
      </c>
      <c r="E101" s="122">
        <v>148.41</v>
      </c>
      <c r="F101" s="122">
        <v>7.4699999999999989</v>
      </c>
      <c r="G101" s="122">
        <v>1.24</v>
      </c>
      <c r="H101" s="122">
        <v>0</v>
      </c>
      <c r="I101" s="128">
        <v>157.12</v>
      </c>
    </row>
    <row r="102" spans="1:9" x14ac:dyDescent="0.3">
      <c r="A102" s="124" t="str">
        <f t="shared" si="2"/>
        <v>VPT 3zg-visueel excl.bh excl.db</v>
      </c>
      <c r="B102" s="282" t="s">
        <v>224</v>
      </c>
      <c r="C102" s="120" t="s">
        <v>3258</v>
      </c>
      <c r="D102" s="434" t="str">
        <f t="shared" si="3"/>
        <v>V830 VPT 3zg-visueel excl.bh excl.db</v>
      </c>
      <c r="E102" s="122">
        <v>135.34</v>
      </c>
      <c r="F102" s="122">
        <v>0</v>
      </c>
      <c r="G102" s="122">
        <v>0</v>
      </c>
      <c r="H102" s="122">
        <v>0</v>
      </c>
      <c r="I102" s="128">
        <v>135.34</v>
      </c>
    </row>
    <row r="103" spans="1:9" x14ac:dyDescent="0.3">
      <c r="A103" s="124" t="str">
        <f t="shared" si="2"/>
        <v>VPT 4zg-visueel excl.bh excl.db</v>
      </c>
      <c r="B103" s="282" t="s">
        <v>304</v>
      </c>
      <c r="C103" s="120" t="s">
        <v>3259</v>
      </c>
      <c r="D103" s="434" t="str">
        <f t="shared" si="3"/>
        <v>V840 VPT 4zg-visueel excl.bh excl.db</v>
      </c>
      <c r="E103" s="122">
        <v>171.65</v>
      </c>
      <c r="F103" s="122">
        <v>0</v>
      </c>
      <c r="G103" s="122">
        <v>0</v>
      </c>
      <c r="H103" s="122">
        <v>0</v>
      </c>
      <c r="I103" s="128">
        <v>171.65</v>
      </c>
    </row>
    <row r="104" spans="1:9" x14ac:dyDescent="0.3">
      <c r="A104" s="124" t="str">
        <f t="shared" si="2"/>
        <v>VPT 5zg-visueel excl.bh excl.db</v>
      </c>
      <c r="B104" s="282" t="s">
        <v>285</v>
      </c>
      <c r="C104" s="120" t="s">
        <v>3260</v>
      </c>
      <c r="D104" s="434" t="str">
        <f t="shared" si="3"/>
        <v>V850 VPT 5zg-visueel excl.bh excl.db</v>
      </c>
      <c r="E104" s="122">
        <v>188.72</v>
      </c>
      <c r="F104" s="122">
        <v>0</v>
      </c>
      <c r="G104" s="122">
        <v>0</v>
      </c>
      <c r="H104" s="122">
        <v>0</v>
      </c>
      <c r="I104" s="128">
        <v>188.72</v>
      </c>
    </row>
    <row r="105" spans="1:9" x14ac:dyDescent="0.3">
      <c r="A105" s="124" t="str">
        <f t="shared" si="2"/>
        <v>VPT 3zg-visueel excl.bh incl.db</v>
      </c>
      <c r="B105" s="282" t="s">
        <v>99</v>
      </c>
      <c r="C105" s="120" t="s">
        <v>3261</v>
      </c>
      <c r="D105" s="434" t="str">
        <f t="shared" si="3"/>
        <v>V831 VPT 3zg-visueel excl.bh incl.db</v>
      </c>
      <c r="E105" s="122">
        <v>173.1</v>
      </c>
      <c r="F105" s="122">
        <v>7.4699999999999989</v>
      </c>
      <c r="G105" s="122">
        <v>1.24</v>
      </c>
      <c r="H105" s="122">
        <v>0</v>
      </c>
      <c r="I105" s="128">
        <v>181.81</v>
      </c>
    </row>
    <row r="106" spans="1:9" x14ac:dyDescent="0.3">
      <c r="A106" s="124" t="str">
        <f t="shared" si="2"/>
        <v>VPT 4zg-visueel excl.bh incl.db</v>
      </c>
      <c r="B106" s="282" t="s">
        <v>203</v>
      </c>
      <c r="C106" s="120" t="s">
        <v>3262</v>
      </c>
      <c r="D106" s="434" t="str">
        <f t="shared" si="3"/>
        <v>V841 VPT 4zg-visueel excl.bh incl.db</v>
      </c>
      <c r="E106" s="122">
        <v>222.62</v>
      </c>
      <c r="F106" s="122">
        <v>8.889999999999997</v>
      </c>
      <c r="G106" s="122">
        <v>1.24</v>
      </c>
      <c r="H106" s="122">
        <v>0</v>
      </c>
      <c r="I106" s="128">
        <v>232.75</v>
      </c>
    </row>
    <row r="107" spans="1:9" x14ac:dyDescent="0.3">
      <c r="A107" s="124" t="str">
        <f t="shared" si="2"/>
        <v>VPT 5zg-visueel excl.bh incl.db</v>
      </c>
      <c r="B107" s="282" t="s">
        <v>356</v>
      </c>
      <c r="C107" s="120" t="s">
        <v>3263</v>
      </c>
      <c r="D107" s="434" t="str">
        <f t="shared" si="3"/>
        <v>V851 VPT 5zg-visueel excl.bh incl.db</v>
      </c>
      <c r="E107" s="122">
        <v>239.69</v>
      </c>
      <c r="F107" s="122">
        <v>10.79</v>
      </c>
      <c r="G107" s="122">
        <v>1.24</v>
      </c>
      <c r="H107" s="122">
        <v>0</v>
      </c>
      <c r="I107" s="128">
        <v>251.72</v>
      </c>
    </row>
    <row r="108" spans="1:9" x14ac:dyDescent="0.3">
      <c r="A108" s="124" t="str">
        <f t="shared" si="2"/>
        <v>VPT 3zg-visueel incl.bh excl.db</v>
      </c>
      <c r="B108" s="282" t="s">
        <v>286</v>
      </c>
      <c r="C108" s="120" t="s">
        <v>3264</v>
      </c>
      <c r="D108" s="434" t="str">
        <f t="shared" si="3"/>
        <v>V832 VPT 3zg-visueel incl.bh excl.db</v>
      </c>
      <c r="E108" s="122">
        <v>149.32</v>
      </c>
      <c r="F108" s="122">
        <v>0</v>
      </c>
      <c r="G108" s="122">
        <v>0</v>
      </c>
      <c r="H108" s="122">
        <v>0</v>
      </c>
      <c r="I108" s="128">
        <v>149.32</v>
      </c>
    </row>
    <row r="109" spans="1:9" x14ac:dyDescent="0.3">
      <c r="A109" s="124" t="str">
        <f t="shared" si="2"/>
        <v>VPT 4zg-visueel incl.bh excl.db</v>
      </c>
      <c r="B109" s="282" t="s">
        <v>58</v>
      </c>
      <c r="C109" s="120" t="s">
        <v>3265</v>
      </c>
      <c r="D109" s="434" t="str">
        <f t="shared" si="3"/>
        <v>V842 VPT 4zg-visueel incl.bh excl.db</v>
      </c>
      <c r="E109" s="122">
        <v>189.53</v>
      </c>
      <c r="F109" s="122">
        <v>0</v>
      </c>
      <c r="G109" s="122">
        <v>0</v>
      </c>
      <c r="H109" s="122">
        <v>0</v>
      </c>
      <c r="I109" s="128">
        <v>189.53</v>
      </c>
    </row>
    <row r="110" spans="1:9" x14ac:dyDescent="0.3">
      <c r="A110" s="124" t="str">
        <f t="shared" si="2"/>
        <v>VPT 5zg-visueel incl.bh excl.db</v>
      </c>
      <c r="B110" s="282" t="s">
        <v>258</v>
      </c>
      <c r="C110" s="120" t="s">
        <v>3266</v>
      </c>
      <c r="D110" s="434" t="str">
        <f t="shared" si="3"/>
        <v>V852 VPT 5zg-visueel incl.bh excl.db</v>
      </c>
      <c r="E110" s="122">
        <v>210.91</v>
      </c>
      <c r="F110" s="122">
        <v>0</v>
      </c>
      <c r="G110" s="122">
        <v>0</v>
      </c>
      <c r="H110" s="122">
        <v>0</v>
      </c>
      <c r="I110" s="128">
        <v>210.91</v>
      </c>
    </row>
    <row r="111" spans="1:9" x14ac:dyDescent="0.3">
      <c r="A111" s="124" t="str">
        <f t="shared" si="2"/>
        <v>VPT 3zg-visueel incl.bh incl.db</v>
      </c>
      <c r="B111" s="282" t="s">
        <v>292</v>
      </c>
      <c r="C111" s="120" t="s">
        <v>3267</v>
      </c>
      <c r="D111" s="434" t="str">
        <f t="shared" si="3"/>
        <v>V833 VPT 3zg-visueel incl.bh incl.db</v>
      </c>
      <c r="E111" s="122">
        <v>187.1</v>
      </c>
      <c r="F111" s="122">
        <v>7.4699999999999989</v>
      </c>
      <c r="G111" s="122">
        <v>1.24</v>
      </c>
      <c r="H111" s="122">
        <v>0</v>
      </c>
      <c r="I111" s="128">
        <v>195.81</v>
      </c>
    </row>
    <row r="112" spans="1:9" x14ac:dyDescent="0.3">
      <c r="A112" s="124" t="str">
        <f t="shared" si="2"/>
        <v>VPT 4zg-visueel incl.bh incl.db</v>
      </c>
      <c r="B112" s="282" t="s">
        <v>138</v>
      </c>
      <c r="C112" s="120" t="s">
        <v>3268</v>
      </c>
      <c r="D112" s="434" t="str">
        <f t="shared" si="3"/>
        <v>V843 VPT 4zg-visueel incl.bh incl.db</v>
      </c>
      <c r="E112" s="122">
        <v>240.51</v>
      </c>
      <c r="F112" s="122">
        <v>8.889999999999997</v>
      </c>
      <c r="G112" s="122">
        <v>1.24</v>
      </c>
      <c r="H112" s="122">
        <v>0</v>
      </c>
      <c r="I112" s="128">
        <v>250.64</v>
      </c>
    </row>
    <row r="113" spans="1:9" x14ac:dyDescent="0.3">
      <c r="A113" s="124" t="str">
        <f t="shared" si="2"/>
        <v>VPT 5zg-visueel incl.bh incl.db</v>
      </c>
      <c r="B113" s="282" t="s">
        <v>179</v>
      </c>
      <c r="C113" s="120" t="s">
        <v>3269</v>
      </c>
      <c r="D113" s="434" t="str">
        <f t="shared" si="3"/>
        <v>V853 VPT 5zg-visueel incl.bh incl.db</v>
      </c>
      <c r="E113" s="122">
        <v>261.88</v>
      </c>
      <c r="F113" s="122">
        <v>10.79</v>
      </c>
      <c r="G113" s="122">
        <v>1.24</v>
      </c>
      <c r="H113" s="122">
        <v>0</v>
      </c>
      <c r="I113" s="128">
        <v>273.91000000000003</v>
      </c>
    </row>
    <row r="114" spans="1:9" x14ac:dyDescent="0.3">
      <c r="A114" s="124" t="str">
        <f t="shared" si="2"/>
        <v>Dagbesteding vg licht (vg1 en vg4)</v>
      </c>
      <c r="B114" s="282" t="s">
        <v>9</v>
      </c>
      <c r="C114" s="120" t="s">
        <v>3071</v>
      </c>
      <c r="D114" s="434" t="str">
        <f t="shared" si="3"/>
        <v>H900 Dagbesteding vg licht (vg1 en vg4)</v>
      </c>
      <c r="E114" s="122">
        <v>25.44393416171809</v>
      </c>
      <c r="F114" s="122">
        <v>5.83</v>
      </c>
      <c r="G114" s="122">
        <v>0.78</v>
      </c>
      <c r="H114" s="122">
        <v>0</v>
      </c>
      <c r="I114" s="128">
        <v>32.05393416171809</v>
      </c>
    </row>
    <row r="115" spans="1:9" x14ac:dyDescent="0.3">
      <c r="A115" s="124" t="str">
        <f t="shared" si="2"/>
        <v>Dagbesteding vg midden (vg5)</v>
      </c>
      <c r="B115" s="282" t="s">
        <v>3072</v>
      </c>
      <c r="C115" s="120" t="s">
        <v>3073</v>
      </c>
      <c r="D115" s="434" t="str">
        <f t="shared" si="3"/>
        <v>H903 Dagbesteding vg midden (vg5)</v>
      </c>
      <c r="E115" s="122">
        <v>40.677124736056157</v>
      </c>
      <c r="F115" s="122">
        <v>6.93</v>
      </c>
      <c r="G115" s="122">
        <v>0.86</v>
      </c>
      <c r="H115" s="122">
        <v>0</v>
      </c>
      <c r="I115" s="128">
        <v>48.467124736056157</v>
      </c>
    </row>
    <row r="116" spans="1:9" x14ac:dyDescent="0.3">
      <c r="A116" s="124" t="str">
        <f t="shared" si="2"/>
        <v>Dagbesteding vg midden (vg6)</v>
      </c>
      <c r="B116" s="282" t="s">
        <v>3074</v>
      </c>
      <c r="C116" s="120" t="s">
        <v>3075</v>
      </c>
      <c r="D116" s="434" t="str">
        <f t="shared" si="3"/>
        <v>H904 Dagbesteding vg midden (vg6)</v>
      </c>
      <c r="E116" s="122">
        <v>40.677124736056157</v>
      </c>
      <c r="F116" s="122">
        <v>6.93</v>
      </c>
      <c r="G116" s="122">
        <v>0.83</v>
      </c>
      <c r="H116" s="122">
        <v>0</v>
      </c>
      <c r="I116" s="128">
        <v>48.437124736056155</v>
      </c>
    </row>
    <row r="117" spans="1:9" x14ac:dyDescent="0.3">
      <c r="A117" s="124" t="str">
        <f t="shared" si="2"/>
        <v>Dagbesteding vg midden (vg8)</v>
      </c>
      <c r="B117" s="282" t="s">
        <v>3579</v>
      </c>
      <c r="C117" s="120" t="s">
        <v>3076</v>
      </c>
      <c r="D117" s="434" t="str">
        <f t="shared" si="3"/>
        <v>H906 Dagbesteding vg midden (vg8)</v>
      </c>
      <c r="E117" s="122">
        <v>77.732697241661839</v>
      </c>
      <c r="F117" s="122">
        <v>8.42</v>
      </c>
      <c r="G117" s="122">
        <v>0.67</v>
      </c>
      <c r="H117" s="122">
        <v>0</v>
      </c>
      <c r="I117" s="128">
        <v>86.822697241661842</v>
      </c>
    </row>
    <row r="118" spans="1:9" x14ac:dyDescent="0.3">
      <c r="A118" s="124" t="str">
        <f t="shared" si="2"/>
        <v>Dagbesteding vg zwaar (vg7)</v>
      </c>
      <c r="B118" s="282" t="s">
        <v>11</v>
      </c>
      <c r="C118" s="120" t="s">
        <v>3077</v>
      </c>
      <c r="D118" s="434" t="str">
        <f t="shared" si="3"/>
        <v>H902 Dagbesteding vg zwaar (vg7)</v>
      </c>
      <c r="E118" s="122">
        <v>77.732697241661839</v>
      </c>
      <c r="F118" s="122">
        <v>6.93</v>
      </c>
      <c r="G118" s="122">
        <v>0.84</v>
      </c>
      <c r="H118" s="122">
        <v>0</v>
      </c>
      <c r="I118" s="128">
        <v>85.502697241661849</v>
      </c>
    </row>
    <row r="119" spans="1:9" x14ac:dyDescent="0.3">
      <c r="A119" s="124" t="str">
        <f t="shared" si="2"/>
        <v>Dagbesteding lg licht (lg7)</v>
      </c>
      <c r="B119" s="282" t="s">
        <v>447</v>
      </c>
      <c r="C119" s="120" t="s">
        <v>3078</v>
      </c>
      <c r="D119" s="434" t="str">
        <f t="shared" si="3"/>
        <v>H910 Dagbesteding lg licht (lg7)</v>
      </c>
      <c r="E119" s="122">
        <v>36.321535323392936</v>
      </c>
      <c r="F119" s="122">
        <v>10.82</v>
      </c>
      <c r="G119" s="122">
        <v>0.86</v>
      </c>
      <c r="H119" s="122">
        <v>0</v>
      </c>
      <c r="I119" s="128">
        <v>48.001535323392936</v>
      </c>
    </row>
    <row r="120" spans="1:9" x14ac:dyDescent="0.3">
      <c r="A120" s="124" t="str">
        <f t="shared" si="2"/>
        <v>Dagbesteding lg midden (lg2 en lg4)</v>
      </c>
      <c r="B120" s="282" t="s">
        <v>3079</v>
      </c>
      <c r="C120" s="120" t="s">
        <v>3080</v>
      </c>
      <c r="D120" s="434" t="str">
        <f t="shared" si="3"/>
        <v>H913 Dagbesteding lg midden (lg2 en lg4)</v>
      </c>
      <c r="E120" s="122">
        <v>45.456643056089604</v>
      </c>
      <c r="F120" s="122">
        <v>7.49</v>
      </c>
      <c r="G120" s="122">
        <v>1.47</v>
      </c>
      <c r="H120" s="122">
        <v>0</v>
      </c>
      <c r="I120" s="128">
        <v>54.416643056089605</v>
      </c>
    </row>
    <row r="121" spans="1:9" x14ac:dyDescent="0.3">
      <c r="A121" s="124" t="str">
        <f t="shared" si="2"/>
        <v>Dagbesteding lg midden (lg6)</v>
      </c>
      <c r="B121" s="282" t="s">
        <v>3081</v>
      </c>
      <c r="C121" s="120" t="s">
        <v>3082</v>
      </c>
      <c r="D121" s="434" t="str">
        <f t="shared" si="3"/>
        <v>H914 Dagbesteding lg midden (lg6)</v>
      </c>
      <c r="E121" s="122">
        <v>45.456643056089604</v>
      </c>
      <c r="F121" s="122">
        <v>10.82</v>
      </c>
      <c r="G121" s="122">
        <v>0.86</v>
      </c>
      <c r="H121" s="122">
        <v>0</v>
      </c>
      <c r="I121" s="128">
        <v>57.136643056089603</v>
      </c>
    </row>
    <row r="122" spans="1:9" x14ac:dyDescent="0.3">
      <c r="A122" s="124" t="str">
        <f t="shared" si="2"/>
        <v>Dagbesteding lg zwaar (lg1 en lg3)</v>
      </c>
      <c r="B122" s="282" t="s">
        <v>3083</v>
      </c>
      <c r="C122" s="120" t="s">
        <v>3084</v>
      </c>
      <c r="D122" s="434" t="str">
        <f t="shared" si="3"/>
        <v>H915 Dagbesteding lg zwaar (lg1 en lg3)</v>
      </c>
      <c r="E122" s="122">
        <v>51.432359434763278</v>
      </c>
      <c r="F122" s="122">
        <v>7.49</v>
      </c>
      <c r="G122" s="122">
        <v>1.47</v>
      </c>
      <c r="H122" s="122">
        <v>0</v>
      </c>
      <c r="I122" s="128">
        <v>60.392359434763279</v>
      </c>
    </row>
    <row r="123" spans="1:9" x14ac:dyDescent="0.3">
      <c r="A123" s="124" t="str">
        <f t="shared" si="2"/>
        <v>Dagbesteding lg zwaar (lg5)</v>
      </c>
      <c r="B123" s="282" t="s">
        <v>3085</v>
      </c>
      <c r="C123" s="120" t="s">
        <v>3086</v>
      </c>
      <c r="D123" s="434" t="str">
        <f t="shared" si="3"/>
        <v>H916 Dagbesteding lg zwaar (lg5)</v>
      </c>
      <c r="E123" s="122">
        <v>51.432359434763278</v>
      </c>
      <c r="F123" s="122">
        <v>8.91</v>
      </c>
      <c r="G123" s="122">
        <v>0.86</v>
      </c>
      <c r="H123" s="122">
        <v>0</v>
      </c>
      <c r="I123" s="128">
        <v>61.202359434763281</v>
      </c>
    </row>
    <row r="124" spans="1:9" x14ac:dyDescent="0.3">
      <c r="A124" s="124" t="str">
        <f t="shared" si="2"/>
        <v>Dagbesteding zg aud licht (zg aud1 en zg aud4)</v>
      </c>
      <c r="B124" s="282" t="s">
        <v>467</v>
      </c>
      <c r="C124" s="120" t="s">
        <v>3087</v>
      </c>
      <c r="D124" s="434" t="str">
        <f t="shared" si="3"/>
        <v>H920 Dagbesteding zg aud licht (zg aud1 en zg aud4)</v>
      </c>
      <c r="E124" s="122">
        <v>40.620823833806696</v>
      </c>
      <c r="F124" s="122">
        <v>5.83</v>
      </c>
      <c r="G124" s="122">
        <v>0.97</v>
      </c>
      <c r="H124" s="122">
        <v>0</v>
      </c>
      <c r="I124" s="128">
        <v>47.420823833806693</v>
      </c>
    </row>
    <row r="125" spans="1:9" x14ac:dyDescent="0.3">
      <c r="A125" s="124" t="str">
        <f t="shared" si="2"/>
        <v>Dagbesteding zg aud midden (zg aud2)</v>
      </c>
      <c r="B125" s="282" t="s">
        <v>461</v>
      </c>
      <c r="C125" s="120" t="s">
        <v>3088</v>
      </c>
      <c r="D125" s="434" t="str">
        <f t="shared" si="3"/>
        <v>H921 Dagbesteding zg aud midden (zg aud2)</v>
      </c>
      <c r="E125" s="122">
        <v>51.62055928317352</v>
      </c>
      <c r="F125" s="122">
        <v>5.83</v>
      </c>
      <c r="G125" s="122">
        <v>0.97</v>
      </c>
      <c r="H125" s="122">
        <v>0</v>
      </c>
      <c r="I125" s="128">
        <v>58.420559283173517</v>
      </c>
    </row>
    <row r="126" spans="1:9" x14ac:dyDescent="0.3">
      <c r="A126" s="124" t="str">
        <f t="shared" si="2"/>
        <v>Dagbesteding zg aud zwaar (zg aud3)</v>
      </c>
      <c r="B126" s="282" t="s">
        <v>459</v>
      </c>
      <c r="C126" s="120" t="s">
        <v>3089</v>
      </c>
      <c r="D126" s="434" t="str">
        <f t="shared" si="3"/>
        <v>H922 Dagbesteding zg aud zwaar (zg aud3)</v>
      </c>
      <c r="E126" s="122">
        <v>63.793667658027445</v>
      </c>
      <c r="F126" s="122">
        <v>6.93</v>
      </c>
      <c r="G126" s="122">
        <v>0.97</v>
      </c>
      <c r="H126" s="122">
        <v>0</v>
      </c>
      <c r="I126" s="128">
        <v>71.693667658027437</v>
      </c>
    </row>
    <row r="127" spans="1:9" x14ac:dyDescent="0.3">
      <c r="A127" s="124" t="str">
        <f t="shared" si="2"/>
        <v>Dagbesteding zg vis licht (zg vis2 en zg vis3)</v>
      </c>
      <c r="B127" s="282" t="s">
        <v>476</v>
      </c>
      <c r="C127" s="120" t="s">
        <v>3090</v>
      </c>
      <c r="D127" s="434" t="str">
        <f t="shared" si="3"/>
        <v>H930 Dagbesteding zg vis licht (zg vis2 en zg vis3)</v>
      </c>
      <c r="E127" s="122">
        <v>29</v>
      </c>
      <c r="F127" s="122">
        <v>5.83</v>
      </c>
      <c r="G127" s="122">
        <v>0.97</v>
      </c>
      <c r="H127" s="122">
        <v>0</v>
      </c>
      <c r="I127" s="128">
        <v>35.799999999999997</v>
      </c>
    </row>
    <row r="128" spans="1:9" x14ac:dyDescent="0.3">
      <c r="A128" s="124" t="str">
        <f t="shared" si="2"/>
        <v>Dagbesteding zg vis midden (zg vis1)</v>
      </c>
      <c r="B128" s="282" t="s">
        <v>469</v>
      </c>
      <c r="C128" s="120" t="s">
        <v>3091</v>
      </c>
      <c r="D128" s="434" t="str">
        <f t="shared" si="3"/>
        <v>H931 Dagbesteding zg vis midden (zg vis1)</v>
      </c>
      <c r="E128" s="122">
        <v>34.81</v>
      </c>
      <c r="F128" s="122">
        <v>5.83</v>
      </c>
      <c r="G128" s="122">
        <v>0.97</v>
      </c>
      <c r="H128" s="122">
        <v>0</v>
      </c>
      <c r="I128" s="128">
        <v>41.61</v>
      </c>
    </row>
    <row r="129" spans="1:9" x14ac:dyDescent="0.3">
      <c r="A129" s="124" t="str">
        <f t="shared" si="2"/>
        <v>Dagbesteding zg vis zwaar (zg vis4)</v>
      </c>
      <c r="B129" s="282" t="s">
        <v>3092</v>
      </c>
      <c r="C129" s="120" t="s">
        <v>3093</v>
      </c>
      <c r="D129" s="434" t="str">
        <f t="shared" si="3"/>
        <v>H933 Dagbesteding zg vis zwaar (zg vis4)</v>
      </c>
      <c r="E129" s="122">
        <v>39.17</v>
      </c>
      <c r="F129" s="122">
        <v>6.93</v>
      </c>
      <c r="G129" s="122">
        <v>0.97</v>
      </c>
      <c r="H129" s="122">
        <v>0</v>
      </c>
      <c r="I129" s="128">
        <v>47.07</v>
      </c>
    </row>
    <row r="130" spans="1:9" x14ac:dyDescent="0.3">
      <c r="A130" s="124" t="str">
        <f t="shared" si="2"/>
        <v>Dagbesteding zg vis zwaar (zg vis5)</v>
      </c>
      <c r="B130" s="282" t="s">
        <v>3094</v>
      </c>
      <c r="C130" s="120" t="s">
        <v>3095</v>
      </c>
      <c r="D130" s="434" t="str">
        <f t="shared" si="3"/>
        <v>H934 Dagbesteding zg vis zwaar (zg vis5)</v>
      </c>
      <c r="E130" s="122">
        <v>39.17</v>
      </c>
      <c r="F130" s="122">
        <v>8.42</v>
      </c>
      <c r="G130" s="122">
        <v>0.97</v>
      </c>
      <c r="H130" s="122">
        <v>0</v>
      </c>
      <c r="I130" s="128">
        <v>48.56</v>
      </c>
    </row>
    <row r="131" spans="1:9" x14ac:dyDescent="0.3">
      <c r="A131" s="124" t="str">
        <f t="shared" si="2"/>
        <v>Vervoer dagbesteding vv</v>
      </c>
      <c r="B131" s="282" t="s">
        <v>2059</v>
      </c>
      <c r="C131" s="120" t="s">
        <v>3096</v>
      </c>
      <c r="D131" s="434" t="str">
        <f t="shared" si="3"/>
        <v>V901 Vervoer dagbesteding vv</v>
      </c>
      <c r="E131" s="122">
        <v>7.35</v>
      </c>
      <c r="F131" s="122">
        <v>0</v>
      </c>
      <c r="G131" s="122">
        <v>0</v>
      </c>
      <c r="H131" s="122">
        <v>0</v>
      </c>
      <c r="I131" s="128">
        <v>7.35</v>
      </c>
    </row>
    <row r="132" spans="1:9" x14ac:dyDescent="0.3">
      <c r="A132" s="124" t="str">
        <f t="shared" si="2"/>
        <v>Vervoer dagbesteding/dagbehandeling ghz - categorie 1</v>
      </c>
      <c r="B132" s="282" t="s">
        <v>3580</v>
      </c>
      <c r="C132" s="120" t="s">
        <v>3547</v>
      </c>
      <c r="D132" s="434" t="str">
        <f t="shared" si="3"/>
        <v>V941 Vervoer dagbesteding/dagbehandeling ghz - categorie 1</v>
      </c>
      <c r="E132" s="122">
        <v>11.97</v>
      </c>
      <c r="F132" s="122">
        <v>0</v>
      </c>
      <c r="G132" s="122">
        <v>0</v>
      </c>
      <c r="H132" s="122">
        <v>0</v>
      </c>
      <c r="I132" s="128">
        <v>11.97</v>
      </c>
    </row>
    <row r="133" spans="1:9" x14ac:dyDescent="0.3">
      <c r="A133" s="124" t="str">
        <f t="shared" si="2"/>
        <v>Vervoer dagbesteding/dagbehandeling ghz - categorie 2</v>
      </c>
      <c r="B133" s="282" t="s">
        <v>3581</v>
      </c>
      <c r="C133" s="120" t="s">
        <v>3549</v>
      </c>
      <c r="D133" s="434" t="str">
        <f t="shared" si="3"/>
        <v>V942 Vervoer dagbesteding/dagbehandeling ghz - categorie 2</v>
      </c>
      <c r="E133" s="122">
        <v>16.91</v>
      </c>
      <c r="F133" s="122">
        <v>0</v>
      </c>
      <c r="G133" s="122">
        <v>0</v>
      </c>
      <c r="H133" s="122">
        <v>0</v>
      </c>
      <c r="I133" s="128">
        <v>16.91</v>
      </c>
    </row>
    <row r="134" spans="1:9" x14ac:dyDescent="0.3">
      <c r="A134" s="124" t="str">
        <f t="shared" si="2"/>
        <v>Vervoer dagbesteding/dagbehandeling ghz - categorie 3</v>
      </c>
      <c r="B134" s="282" t="s">
        <v>3582</v>
      </c>
      <c r="C134" s="120" t="s">
        <v>3551</v>
      </c>
      <c r="D134" s="434" t="str">
        <f t="shared" si="3"/>
        <v>V943 Vervoer dagbesteding/dagbehandeling ghz - categorie 3</v>
      </c>
      <c r="E134" s="122">
        <v>26.79</v>
      </c>
      <c r="F134" s="122">
        <v>0</v>
      </c>
      <c r="G134" s="122">
        <v>0</v>
      </c>
      <c r="H134" s="122">
        <v>0</v>
      </c>
      <c r="I134" s="128">
        <v>26.79</v>
      </c>
    </row>
    <row r="135" spans="1:9" x14ac:dyDescent="0.3">
      <c r="A135" s="124" t="str">
        <f t="shared" ref="A135:A182" si="4">SUBSTITUTE(C135,"ZZP","VPT")</f>
        <v>Vervoer dagbesteding/dagbehandeling ghz - categorie 4</v>
      </c>
      <c r="B135" s="282" t="s">
        <v>3583</v>
      </c>
      <c r="C135" s="120" t="s">
        <v>3553</v>
      </c>
      <c r="D135" s="434" t="str">
        <f t="shared" ref="D135:D182" si="5">CONCATENATE(B135," ",A135)</f>
        <v>V944 Vervoer dagbesteding/dagbehandeling ghz - categorie 4</v>
      </c>
      <c r="E135" s="122">
        <v>46.04</v>
      </c>
      <c r="F135" s="122">
        <v>0</v>
      </c>
      <c r="G135" s="122">
        <v>0</v>
      </c>
      <c r="H135" s="122">
        <v>0</v>
      </c>
      <c r="I135" s="128">
        <v>46.04</v>
      </c>
    </row>
    <row r="136" spans="1:9" x14ac:dyDescent="0.3">
      <c r="A136" s="124" t="str">
        <f t="shared" si="4"/>
        <v>Vervoer dagbesteding/dagbehandeling ghz - categorie 5</v>
      </c>
      <c r="B136" s="282" t="s">
        <v>3584</v>
      </c>
      <c r="C136" s="120" t="s">
        <v>3555</v>
      </c>
      <c r="D136" s="434" t="str">
        <f t="shared" si="5"/>
        <v>V945 Vervoer dagbesteding/dagbehandeling ghz - categorie 5</v>
      </c>
      <c r="E136" s="122">
        <v>66.069999999999993</v>
      </c>
      <c r="F136" s="122">
        <v>0</v>
      </c>
      <c r="G136" s="122">
        <v>0</v>
      </c>
      <c r="H136" s="122">
        <v>0</v>
      </c>
      <c r="I136" s="128">
        <v>66.069999999999993</v>
      </c>
    </row>
    <row r="137" spans="1:9" x14ac:dyDescent="0.3">
      <c r="A137" s="124" t="str">
        <f t="shared" si="4"/>
        <v>Toeslag Huntington</v>
      </c>
      <c r="B137" s="282" t="s">
        <v>2079</v>
      </c>
      <c r="C137" s="120" t="s">
        <v>2080</v>
      </c>
      <c r="D137" s="434" t="str">
        <f t="shared" si="5"/>
        <v>V920 Toeslag Huntington</v>
      </c>
      <c r="E137" s="122">
        <v>43.85</v>
      </c>
      <c r="F137" s="122">
        <v>0</v>
      </c>
      <c r="G137" s="122">
        <v>0</v>
      </c>
      <c r="H137" s="122">
        <v>0</v>
      </c>
      <c r="I137" s="128">
        <v>43.85</v>
      </c>
    </row>
    <row r="138" spans="1:9" x14ac:dyDescent="0.3">
      <c r="A138" s="124" t="str">
        <f t="shared" si="4"/>
        <v>Toeslag Cerebro Vasculair Accident (CVA)</v>
      </c>
      <c r="B138" s="282" t="s">
        <v>2066</v>
      </c>
      <c r="C138" s="120" t="s">
        <v>2500</v>
      </c>
      <c r="D138" s="434" t="str">
        <f t="shared" si="5"/>
        <v>V910 Toeslag Cerebro Vasculair Accident (CVA)</v>
      </c>
      <c r="E138" s="122">
        <v>31.95</v>
      </c>
      <c r="F138" s="122">
        <v>0</v>
      </c>
      <c r="G138" s="122">
        <v>0</v>
      </c>
      <c r="H138" s="122">
        <v>0</v>
      </c>
      <c r="I138" s="128">
        <v>31.95</v>
      </c>
    </row>
    <row r="139" spans="1:9" x14ac:dyDescent="0.3">
      <c r="A139" s="124" t="str">
        <f t="shared" si="4"/>
        <v>Toeslag invasieve beademing</v>
      </c>
      <c r="B139" s="282" t="s">
        <v>2075</v>
      </c>
      <c r="C139" s="120" t="s">
        <v>2076</v>
      </c>
      <c r="D139" s="434" t="str">
        <f t="shared" si="5"/>
        <v>V918 Toeslag invasieve beademing</v>
      </c>
      <c r="E139" s="122">
        <v>226.14</v>
      </c>
      <c r="F139" s="122">
        <v>0</v>
      </c>
      <c r="G139" s="122">
        <v>0</v>
      </c>
      <c r="H139" s="122">
        <v>0</v>
      </c>
      <c r="I139" s="128">
        <v>226.14</v>
      </c>
    </row>
    <row r="140" spans="1:9" x14ac:dyDescent="0.3">
      <c r="A140" s="124" t="str">
        <f t="shared" si="4"/>
        <v>Toeslag non-invasieve beademing</v>
      </c>
      <c r="B140" s="282" t="s">
        <v>2081</v>
      </c>
      <c r="C140" s="120" t="s">
        <v>3097</v>
      </c>
      <c r="D140" s="434" t="str">
        <f t="shared" si="5"/>
        <v>V921 Toeslag non-invasieve beademing</v>
      </c>
      <c r="E140" s="122">
        <v>42.45</v>
      </c>
      <c r="F140" s="122">
        <v>0</v>
      </c>
      <c r="G140" s="122">
        <v>0</v>
      </c>
      <c r="H140" s="122">
        <v>0</v>
      </c>
      <c r="I140" s="128">
        <v>42.45</v>
      </c>
    </row>
    <row r="141" spans="1:9" x14ac:dyDescent="0.3">
      <c r="A141" s="124" t="str">
        <f t="shared" si="4"/>
        <v>Toeslag gespecialiseerde epilepsie zorg (GEZ) laag</v>
      </c>
      <c r="B141" s="282" t="s">
        <v>2083</v>
      </c>
      <c r="C141" s="120" t="s">
        <v>3098</v>
      </c>
      <c r="D141" s="434" t="str">
        <f t="shared" si="5"/>
        <v>V975 Toeslag gespecialiseerde epilepsie zorg (GEZ) laag</v>
      </c>
      <c r="E141" s="122">
        <v>47.62</v>
      </c>
      <c r="F141" s="122">
        <v>0</v>
      </c>
      <c r="G141" s="122">
        <v>0</v>
      </c>
      <c r="H141" s="122">
        <v>0</v>
      </c>
      <c r="I141" s="128">
        <v>47.62</v>
      </c>
    </row>
    <row r="142" spans="1:9" x14ac:dyDescent="0.3">
      <c r="A142" s="124" t="str">
        <f t="shared" si="4"/>
        <v>Toeslag gespecialiseerde epilepsiezorg (GEZ) midden</v>
      </c>
      <c r="B142" s="282" t="s">
        <v>2085</v>
      </c>
      <c r="C142" s="120" t="s">
        <v>2529</v>
      </c>
      <c r="D142" s="434" t="str">
        <f t="shared" si="5"/>
        <v>V976 Toeslag gespecialiseerde epilepsiezorg (GEZ) midden</v>
      </c>
      <c r="E142" s="122">
        <v>82.03</v>
      </c>
      <c r="F142" s="122">
        <v>0</v>
      </c>
      <c r="G142" s="122">
        <v>0</v>
      </c>
      <c r="H142" s="122">
        <v>0</v>
      </c>
      <c r="I142" s="128">
        <v>82.03</v>
      </c>
    </row>
    <row r="143" spans="1:9" x14ac:dyDescent="0.3">
      <c r="A143" s="124" t="str">
        <f t="shared" si="4"/>
        <v>Toeslag gespecialiseerde epilepsiezorg (GEZ) hoog</v>
      </c>
      <c r="B143" s="282" t="s">
        <v>2087</v>
      </c>
      <c r="C143" s="120" t="s">
        <v>2531</v>
      </c>
      <c r="D143" s="434" t="str">
        <f t="shared" si="5"/>
        <v>V977 Toeslag gespecialiseerde epilepsiezorg (GEZ) hoog</v>
      </c>
      <c r="E143" s="122">
        <v>103.93</v>
      </c>
      <c r="F143" s="122">
        <v>0</v>
      </c>
      <c r="G143" s="122">
        <v>0</v>
      </c>
      <c r="H143" s="122">
        <v>0</v>
      </c>
      <c r="I143" s="128">
        <v>103.93</v>
      </c>
    </row>
    <row r="144" spans="1:9" x14ac:dyDescent="0.3">
      <c r="A144" s="124" t="str">
        <f t="shared" si="4"/>
        <v>Toeslag woonzorg ghz kind</v>
      </c>
      <c r="B144" s="282" t="s">
        <v>2089</v>
      </c>
      <c r="C144" s="120" t="s">
        <v>3099</v>
      </c>
      <c r="D144" s="434" t="str">
        <f t="shared" si="5"/>
        <v>V978 Toeslag woonzorg ghz kind</v>
      </c>
      <c r="E144" s="122">
        <v>36.479999999999997</v>
      </c>
      <c r="F144" s="122">
        <v>0</v>
      </c>
      <c r="G144" s="122">
        <v>0</v>
      </c>
      <c r="H144" s="122">
        <v>0</v>
      </c>
      <c r="I144" s="128">
        <v>36.479999999999997</v>
      </c>
    </row>
    <row r="145" spans="1:9" x14ac:dyDescent="0.3">
      <c r="A145" s="124" t="str">
        <f t="shared" si="4"/>
        <v>Toeslag woonzorg ghz jeugd</v>
      </c>
      <c r="B145" s="282" t="s">
        <v>2091</v>
      </c>
      <c r="C145" s="120" t="s">
        <v>3100</v>
      </c>
      <c r="D145" s="434" t="str">
        <f t="shared" si="5"/>
        <v>V979 Toeslag woonzorg ghz jeugd</v>
      </c>
      <c r="E145" s="122">
        <v>22.22</v>
      </c>
      <c r="F145" s="122">
        <v>0</v>
      </c>
      <c r="G145" s="122">
        <v>0</v>
      </c>
      <c r="H145" s="122">
        <v>0</v>
      </c>
      <c r="I145" s="128">
        <v>22.22</v>
      </c>
    </row>
    <row r="146" spans="1:9" x14ac:dyDescent="0.3">
      <c r="A146" s="124" t="str">
        <f t="shared" si="4"/>
        <v>Toeslag woonzorg ghz jong volwassen</v>
      </c>
      <c r="B146" s="282" t="s">
        <v>2093</v>
      </c>
      <c r="C146" s="120" t="s">
        <v>3101</v>
      </c>
      <c r="D146" s="434" t="str">
        <f t="shared" si="5"/>
        <v>V980 Toeslag woonzorg ghz jong volwassen</v>
      </c>
      <c r="E146" s="122">
        <v>18.29</v>
      </c>
      <c r="F146" s="122">
        <v>0</v>
      </c>
      <c r="G146" s="122">
        <v>0</v>
      </c>
      <c r="H146" s="122">
        <v>0</v>
      </c>
      <c r="I146" s="128">
        <v>18.29</v>
      </c>
    </row>
    <row r="147" spans="1:9" x14ac:dyDescent="0.3">
      <c r="A147" s="124" t="str">
        <f t="shared" si="4"/>
        <v>Toeslag gespecialiseerde behandelzorg</v>
      </c>
      <c r="B147" s="282" t="s">
        <v>2095</v>
      </c>
      <c r="C147" s="120" t="s">
        <v>2096</v>
      </c>
      <c r="D147" s="434" t="str">
        <f t="shared" si="5"/>
        <v>V981 Toeslag gespecialiseerde behandelzorg</v>
      </c>
      <c r="E147" s="122">
        <v>127.17</v>
      </c>
      <c r="F147" s="122">
        <v>0</v>
      </c>
      <c r="G147" s="122">
        <v>0</v>
      </c>
      <c r="H147" s="122">
        <v>0</v>
      </c>
      <c r="I147" s="128">
        <v>127.17</v>
      </c>
    </row>
    <row r="148" spans="1:9" x14ac:dyDescent="0.3">
      <c r="A148" s="124" t="str">
        <f t="shared" si="4"/>
        <v>Toeslag dagbesteding ghz kind - licht</v>
      </c>
      <c r="B148" s="282" t="s">
        <v>2069</v>
      </c>
      <c r="C148" s="120" t="s">
        <v>3102</v>
      </c>
      <c r="D148" s="434" t="str">
        <f t="shared" si="5"/>
        <v>V913 Toeslag dagbesteding ghz kind - licht</v>
      </c>
      <c r="E148" s="122">
        <v>22.64</v>
      </c>
      <c r="F148" s="122">
        <v>0</v>
      </c>
      <c r="G148" s="122">
        <v>0</v>
      </c>
      <c r="H148" s="122">
        <v>0</v>
      </c>
      <c r="I148" s="128">
        <v>22.64</v>
      </c>
    </row>
    <row r="149" spans="1:9" x14ac:dyDescent="0.3">
      <c r="A149" s="124" t="str">
        <f t="shared" si="4"/>
        <v>Toeslag dagbesteding ghz kind - midden</v>
      </c>
      <c r="B149" s="282" t="s">
        <v>2071</v>
      </c>
      <c r="C149" s="120" t="s">
        <v>3103</v>
      </c>
      <c r="D149" s="434" t="str">
        <f t="shared" si="5"/>
        <v>V914 Toeslag dagbesteding ghz kind - midden</v>
      </c>
      <c r="E149" s="122">
        <v>27.73</v>
      </c>
      <c r="F149" s="122">
        <v>0</v>
      </c>
      <c r="G149" s="122">
        <v>0</v>
      </c>
      <c r="H149" s="122">
        <v>0</v>
      </c>
      <c r="I149" s="128">
        <v>27.73</v>
      </c>
    </row>
    <row r="150" spans="1:9" x14ac:dyDescent="0.3">
      <c r="A150" s="124" t="str">
        <f t="shared" si="4"/>
        <v>Toeslag dagbesteding ghz kind - zwaar</v>
      </c>
      <c r="B150" s="282" t="s">
        <v>2073</v>
      </c>
      <c r="C150" s="120" t="s">
        <v>3104</v>
      </c>
      <c r="D150" s="434" t="str">
        <f t="shared" si="5"/>
        <v>V915 Toeslag dagbesteding ghz kind - zwaar</v>
      </c>
      <c r="E150" s="122">
        <v>41.52</v>
      </c>
      <c r="F150" s="122">
        <v>0</v>
      </c>
      <c r="G150" s="122">
        <v>0</v>
      </c>
      <c r="H150" s="122">
        <v>0</v>
      </c>
      <c r="I150" s="128">
        <v>41.52</v>
      </c>
    </row>
    <row r="151" spans="1:9" x14ac:dyDescent="0.3">
      <c r="A151" s="124" t="str">
        <f t="shared" si="4"/>
        <v>Toeslag dagbesteding ghz kind – vg5/vg8 midden emg</v>
      </c>
      <c r="B151" s="282" t="s">
        <v>2077</v>
      </c>
      <c r="C151" s="120" t="s">
        <v>3105</v>
      </c>
      <c r="D151" s="434" t="str">
        <f t="shared" si="5"/>
        <v>V919 Toeslag dagbesteding ghz kind – vg5/vg8 midden emg</v>
      </c>
      <c r="E151" s="122">
        <v>69.86</v>
      </c>
      <c r="F151" s="122">
        <v>0</v>
      </c>
      <c r="G151" s="122">
        <v>0</v>
      </c>
      <c r="H151" s="122">
        <v>0</v>
      </c>
      <c r="I151" s="128">
        <v>69.86</v>
      </c>
    </row>
    <row r="152" spans="1:9" x14ac:dyDescent="0.3">
      <c r="A152" s="124" t="str">
        <f t="shared" si="4"/>
        <v>Toeslag kind dagbesteding vg licht</v>
      </c>
      <c r="B152" s="282" t="s">
        <v>451</v>
      </c>
      <c r="C152" s="120" t="s">
        <v>3106</v>
      </c>
      <c r="D152" s="434" t="str">
        <f t="shared" si="5"/>
        <v>H940 Toeslag kind dagbesteding vg licht</v>
      </c>
      <c r="E152" s="122">
        <v>22.64</v>
      </c>
      <c r="F152" s="122">
        <v>0</v>
      </c>
      <c r="G152" s="122">
        <v>0</v>
      </c>
      <c r="H152" s="122">
        <v>17.059999999999999</v>
      </c>
      <c r="I152" s="128">
        <v>39.700000000000003</v>
      </c>
    </row>
    <row r="153" spans="1:9" x14ac:dyDescent="0.3">
      <c r="A153" s="124" t="str">
        <f t="shared" si="4"/>
        <v>Toeslag kind dagbesteding vg midden</v>
      </c>
      <c r="B153" s="282" t="s">
        <v>449</v>
      </c>
      <c r="C153" s="120" t="s">
        <v>3107</v>
      </c>
      <c r="D153" s="434" t="str">
        <f t="shared" si="5"/>
        <v>H941 Toeslag kind dagbesteding vg midden</v>
      </c>
      <c r="E153" s="122">
        <v>27.73</v>
      </c>
      <c r="F153" s="122">
        <v>0</v>
      </c>
      <c r="G153" s="122">
        <v>0</v>
      </c>
      <c r="H153" s="122">
        <v>17.059999999999999</v>
      </c>
      <c r="I153" s="128">
        <v>44.79</v>
      </c>
    </row>
    <row r="154" spans="1:9" x14ac:dyDescent="0.3">
      <c r="A154" s="124" t="str">
        <f t="shared" si="4"/>
        <v>Toeslag kind dagbesteding vg5/vg8 midden emg</v>
      </c>
      <c r="B154" s="282" t="s">
        <v>463</v>
      </c>
      <c r="C154" s="120" t="s">
        <v>3108</v>
      </c>
      <c r="D154" s="434" t="str">
        <f t="shared" si="5"/>
        <v>H942 Toeslag kind dagbesteding vg5/vg8 midden emg</v>
      </c>
      <c r="E154" s="122">
        <v>69.86</v>
      </c>
      <c r="F154" s="122">
        <v>0</v>
      </c>
      <c r="G154" s="122">
        <v>0</v>
      </c>
      <c r="H154" s="122">
        <v>17.059999999999999</v>
      </c>
      <c r="I154" s="128">
        <v>86.92</v>
      </c>
    </row>
    <row r="155" spans="1:9" x14ac:dyDescent="0.3">
      <c r="A155" s="124" t="str">
        <f t="shared" si="4"/>
        <v>Toeslag kind dagbesteding vg zwaar</v>
      </c>
      <c r="B155" s="282" t="s">
        <v>482</v>
      </c>
      <c r="C155" s="120" t="s">
        <v>3109</v>
      </c>
      <c r="D155" s="434" t="str">
        <f t="shared" si="5"/>
        <v>H943 Toeslag kind dagbesteding vg zwaar</v>
      </c>
      <c r="E155" s="122">
        <v>41.52</v>
      </c>
      <c r="F155" s="122">
        <v>0</v>
      </c>
      <c r="G155" s="122">
        <v>0</v>
      </c>
      <c r="H155" s="122">
        <v>17.059999999999999</v>
      </c>
      <c r="I155" s="128">
        <v>58.58</v>
      </c>
    </row>
    <row r="156" spans="1:9" x14ac:dyDescent="0.3">
      <c r="A156" s="124" t="str">
        <f t="shared" si="4"/>
        <v>Toeslag kind dagbesteding lg licht</v>
      </c>
      <c r="B156" s="282" t="s">
        <v>474</v>
      </c>
      <c r="C156" s="120" t="s">
        <v>3110</v>
      </c>
      <c r="D156" s="434" t="str">
        <f t="shared" si="5"/>
        <v>H950 Toeslag kind dagbesteding lg licht</v>
      </c>
      <c r="E156" s="122">
        <v>22.64</v>
      </c>
      <c r="F156" s="122">
        <v>0</v>
      </c>
      <c r="G156" s="122">
        <v>0</v>
      </c>
      <c r="H156" s="122">
        <v>17.059999999999999</v>
      </c>
      <c r="I156" s="128">
        <v>39.700000000000003</v>
      </c>
    </row>
    <row r="157" spans="1:9" x14ac:dyDescent="0.3">
      <c r="A157" s="124" t="str">
        <f t="shared" si="4"/>
        <v>Toeslag kind dagbesteding lg midden</v>
      </c>
      <c r="B157" s="282" t="s">
        <v>455</v>
      </c>
      <c r="C157" s="120" t="s">
        <v>3111</v>
      </c>
      <c r="D157" s="434" t="str">
        <f t="shared" si="5"/>
        <v>H951 Toeslag kind dagbesteding lg midden</v>
      </c>
      <c r="E157" s="122">
        <v>27.73</v>
      </c>
      <c r="F157" s="122">
        <v>0</v>
      </c>
      <c r="G157" s="122">
        <v>0</v>
      </c>
      <c r="H157" s="122">
        <v>17.059999999999999</v>
      </c>
      <c r="I157" s="128">
        <v>44.79</v>
      </c>
    </row>
    <row r="158" spans="1:9" x14ac:dyDescent="0.3">
      <c r="A158" s="124" t="str">
        <f t="shared" si="4"/>
        <v>Toeslag kind dagbesteding lg zwaar</v>
      </c>
      <c r="B158" s="282" t="s">
        <v>465</v>
      </c>
      <c r="C158" s="120" t="s">
        <v>3112</v>
      </c>
      <c r="D158" s="434" t="str">
        <f t="shared" si="5"/>
        <v>H952 Toeslag kind dagbesteding lg zwaar</v>
      </c>
      <c r="E158" s="122">
        <v>41.52</v>
      </c>
      <c r="F158" s="122">
        <v>0</v>
      </c>
      <c r="G158" s="122">
        <v>0</v>
      </c>
      <c r="H158" s="122">
        <v>17.059999999999999</v>
      </c>
      <c r="I158" s="128">
        <v>58.58</v>
      </c>
    </row>
    <row r="159" spans="1:9" x14ac:dyDescent="0.3">
      <c r="A159" s="124" t="str">
        <f t="shared" si="4"/>
        <v>Toeslag kind dagbesteding zg auditief licht</v>
      </c>
      <c r="B159" s="282" t="s">
        <v>488</v>
      </c>
      <c r="C159" s="120" t="s">
        <v>3113</v>
      </c>
      <c r="D159" s="434" t="str">
        <f t="shared" si="5"/>
        <v>H960 Toeslag kind dagbesteding zg auditief licht</v>
      </c>
      <c r="E159" s="122">
        <v>22.64</v>
      </c>
      <c r="F159" s="122">
        <v>0</v>
      </c>
      <c r="G159" s="122">
        <v>0</v>
      </c>
      <c r="H159" s="122">
        <v>17.059999999999999</v>
      </c>
      <c r="I159" s="128">
        <v>39.700000000000003</v>
      </c>
    </row>
    <row r="160" spans="1:9" x14ac:dyDescent="0.3">
      <c r="A160" s="124" t="str">
        <f t="shared" si="4"/>
        <v>Toeslag kind dagbesteding zg auditief midden</v>
      </c>
      <c r="B160" s="282" t="s">
        <v>508</v>
      </c>
      <c r="C160" s="120" t="s">
        <v>3114</v>
      </c>
      <c r="D160" s="434" t="str">
        <f t="shared" si="5"/>
        <v>H961 Toeslag kind dagbesteding zg auditief midden</v>
      </c>
      <c r="E160" s="122">
        <v>27.73</v>
      </c>
      <c r="F160" s="122">
        <v>0</v>
      </c>
      <c r="G160" s="122">
        <v>0</v>
      </c>
      <c r="H160" s="122">
        <v>17.059999999999999</v>
      </c>
      <c r="I160" s="128">
        <v>44.79</v>
      </c>
    </row>
    <row r="161" spans="1:9" x14ac:dyDescent="0.3">
      <c r="A161" s="124" t="str">
        <f t="shared" si="4"/>
        <v>Toeslag kind dagbesteding zg auditief zwaar</v>
      </c>
      <c r="B161" s="282" t="s">
        <v>544</v>
      </c>
      <c r="C161" s="120" t="s">
        <v>3115</v>
      </c>
      <c r="D161" s="434" t="str">
        <f t="shared" si="5"/>
        <v>H962 Toeslag kind dagbesteding zg auditief zwaar</v>
      </c>
      <c r="E161" s="122">
        <v>41.52</v>
      </c>
      <c r="F161" s="122">
        <v>0</v>
      </c>
      <c r="G161" s="122">
        <v>0</v>
      </c>
      <c r="H161" s="122">
        <v>17.059999999999999</v>
      </c>
      <c r="I161" s="128">
        <v>58.58</v>
      </c>
    </row>
    <row r="162" spans="1:9" x14ac:dyDescent="0.3">
      <c r="A162" s="124" t="str">
        <f t="shared" si="4"/>
        <v>Toeslag kind dagbesteding zg visueel licht</v>
      </c>
      <c r="B162" s="282" t="s">
        <v>514</v>
      </c>
      <c r="C162" s="120" t="s">
        <v>3116</v>
      </c>
      <c r="D162" s="434" t="str">
        <f t="shared" si="5"/>
        <v>H970 Toeslag kind dagbesteding zg visueel licht</v>
      </c>
      <c r="E162" s="122">
        <v>22.64</v>
      </c>
      <c r="F162" s="122">
        <v>0</v>
      </c>
      <c r="G162" s="122">
        <v>0</v>
      </c>
      <c r="H162" s="122">
        <v>17.059999999999999</v>
      </c>
      <c r="I162" s="128">
        <v>39.700000000000003</v>
      </c>
    </row>
    <row r="163" spans="1:9" x14ac:dyDescent="0.3">
      <c r="A163" s="124" t="str">
        <f t="shared" si="4"/>
        <v>Toeslag kind dagbesteding zg visueel midden</v>
      </c>
      <c r="B163" s="282" t="s">
        <v>552</v>
      </c>
      <c r="C163" s="120" t="s">
        <v>3117</v>
      </c>
      <c r="D163" s="434" t="str">
        <f t="shared" si="5"/>
        <v>H971 Toeslag kind dagbesteding zg visueel midden</v>
      </c>
      <c r="E163" s="122">
        <v>27.73</v>
      </c>
      <c r="F163" s="122">
        <v>0</v>
      </c>
      <c r="G163" s="122">
        <v>0</v>
      </c>
      <c r="H163" s="122">
        <v>17.059999999999999</v>
      </c>
      <c r="I163" s="128">
        <v>44.79</v>
      </c>
    </row>
    <row r="164" spans="1:9" x14ac:dyDescent="0.3">
      <c r="A164" s="124" t="str">
        <f t="shared" si="4"/>
        <v>Toeslag kind dagbesteding zg visueel zwaar</v>
      </c>
      <c r="B164" s="282" t="s">
        <v>558</v>
      </c>
      <c r="C164" s="120" t="s">
        <v>3118</v>
      </c>
      <c r="D164" s="434" t="str">
        <f t="shared" si="5"/>
        <v>H972 Toeslag kind dagbesteding zg visueel zwaar</v>
      </c>
      <c r="E164" s="122">
        <v>41.52</v>
      </c>
      <c r="F164" s="122">
        <v>0</v>
      </c>
      <c r="G164" s="122">
        <v>0</v>
      </c>
      <c r="H164" s="122">
        <v>17.059999999999999</v>
      </c>
      <c r="I164" s="128">
        <v>58.58</v>
      </c>
    </row>
    <row r="165" spans="1:9" x14ac:dyDescent="0.3">
      <c r="A165" s="124" t="str">
        <f t="shared" si="4"/>
        <v>Opslag Waardigheid en Trots vpt-zzp 4vv excl. bh</v>
      </c>
      <c r="B165" s="282" t="s">
        <v>3119</v>
      </c>
      <c r="C165" s="120" t="s">
        <v>3120</v>
      </c>
      <c r="D165" s="434" t="str">
        <f t="shared" si="5"/>
        <v>WV041 Opslag Waardigheid en Trots vpt-zzp 4vv excl. bh</v>
      </c>
      <c r="E165" s="122">
        <v>2.14</v>
      </c>
      <c r="F165" s="122">
        <v>0</v>
      </c>
      <c r="G165" s="122">
        <v>0</v>
      </c>
      <c r="H165" s="122">
        <v>0</v>
      </c>
      <c r="I165" s="128">
        <v>2.14</v>
      </c>
    </row>
    <row r="166" spans="1:9" x14ac:dyDescent="0.3">
      <c r="A166" s="124" t="str">
        <f t="shared" si="4"/>
        <v>Opslag Waardigheid en Trots vpt-zzp 5vv excl. bh</v>
      </c>
      <c r="B166" s="282" t="s">
        <v>3121</v>
      </c>
      <c r="C166" s="120" t="s">
        <v>3122</v>
      </c>
      <c r="D166" s="434" t="str">
        <f t="shared" si="5"/>
        <v>WV051 Opslag Waardigheid en Trots vpt-zzp 5vv excl. bh</v>
      </c>
      <c r="E166" s="122">
        <v>2.95</v>
      </c>
      <c r="F166" s="122">
        <v>0</v>
      </c>
      <c r="G166" s="122">
        <v>0</v>
      </c>
      <c r="H166" s="122">
        <v>0</v>
      </c>
      <c r="I166" s="128">
        <v>2.95</v>
      </c>
    </row>
    <row r="167" spans="1:9" x14ac:dyDescent="0.3">
      <c r="A167" s="124" t="str">
        <f t="shared" si="4"/>
        <v>Opslag Waardigheid en Trots vpt-zzp 6vv excl. bh</v>
      </c>
      <c r="B167" s="282" t="s">
        <v>3123</v>
      </c>
      <c r="C167" s="120" t="s">
        <v>3124</v>
      </c>
      <c r="D167" s="434" t="str">
        <f t="shared" si="5"/>
        <v>WV061 Opslag Waardigheid en Trots vpt-zzp 6vv excl. bh</v>
      </c>
      <c r="E167" s="122">
        <v>2.95</v>
      </c>
      <c r="F167" s="122">
        <v>0</v>
      </c>
      <c r="G167" s="122">
        <v>0</v>
      </c>
      <c r="H167" s="122">
        <v>0</v>
      </c>
      <c r="I167" s="128">
        <v>2.95</v>
      </c>
    </row>
    <row r="168" spans="1:9" x14ac:dyDescent="0.3">
      <c r="A168" s="124" t="str">
        <f t="shared" si="4"/>
        <v>Opslag Waardigheid en Trots vpt-zzp 7vv excl. bh</v>
      </c>
      <c r="B168" s="282" t="s">
        <v>3125</v>
      </c>
      <c r="C168" s="120" t="s">
        <v>3126</v>
      </c>
      <c r="D168" s="434" t="str">
        <f t="shared" si="5"/>
        <v>WV071 Opslag Waardigheid en Trots vpt-zzp 7vv excl. bh</v>
      </c>
      <c r="E168" s="122">
        <v>3.46</v>
      </c>
      <c r="F168" s="122">
        <v>0</v>
      </c>
      <c r="G168" s="122">
        <v>0</v>
      </c>
      <c r="H168" s="122">
        <v>0</v>
      </c>
      <c r="I168" s="128">
        <v>3.46</v>
      </c>
    </row>
    <row r="169" spans="1:9" x14ac:dyDescent="0.3">
      <c r="A169" s="124" t="str">
        <f t="shared" si="4"/>
        <v>Opslag Waardigheid en Trots vpt-zzp 8vv excl. bh</v>
      </c>
      <c r="B169" s="282" t="s">
        <v>3127</v>
      </c>
      <c r="C169" s="120" t="s">
        <v>3128</v>
      </c>
      <c r="D169" s="434" t="str">
        <f t="shared" si="5"/>
        <v>WV081 Opslag Waardigheid en Trots vpt-zzp 8vv excl. bh</v>
      </c>
      <c r="E169" s="122">
        <v>4.0199999999999996</v>
      </c>
      <c r="F169" s="122">
        <v>0</v>
      </c>
      <c r="G169" s="122">
        <v>0</v>
      </c>
      <c r="H169" s="122">
        <v>0</v>
      </c>
      <c r="I169" s="128">
        <v>4.0199999999999996</v>
      </c>
    </row>
    <row r="170" spans="1:9" x14ac:dyDescent="0.3">
      <c r="A170" s="124" t="str">
        <f t="shared" si="4"/>
        <v>Opslag Waardigheid en Trots vpt-zzp 9bvv excl. bh</v>
      </c>
      <c r="B170" s="282" t="s">
        <v>3129</v>
      </c>
      <c r="C170" s="120" t="s">
        <v>3130</v>
      </c>
      <c r="D170" s="434" t="str">
        <f t="shared" si="5"/>
        <v>WV095 Opslag Waardigheid en Trots vpt-zzp 9bvv excl. bh</v>
      </c>
      <c r="E170" s="122">
        <v>2.87</v>
      </c>
      <c r="F170" s="122">
        <v>0</v>
      </c>
      <c r="G170" s="122">
        <v>0</v>
      </c>
      <c r="H170" s="122">
        <v>0</v>
      </c>
      <c r="I170" s="128">
        <v>2.87</v>
      </c>
    </row>
    <row r="171" spans="1:9" x14ac:dyDescent="0.3">
      <c r="A171" s="124" t="str">
        <f t="shared" si="4"/>
        <v>Opslag Waardigheid en Trots vpt-zzp 10vv excl. bh</v>
      </c>
      <c r="B171" s="282" t="s">
        <v>3131</v>
      </c>
      <c r="C171" s="120" t="s">
        <v>3132</v>
      </c>
      <c r="D171" s="434" t="str">
        <f t="shared" si="5"/>
        <v>WV101 Opslag Waardigheid en Trots vpt-zzp 10vv excl. bh</v>
      </c>
      <c r="E171" s="122">
        <v>4.4000000000000004</v>
      </c>
      <c r="F171" s="122">
        <v>0</v>
      </c>
      <c r="G171" s="122">
        <v>0</v>
      </c>
      <c r="H171" s="122">
        <v>0</v>
      </c>
      <c r="I171" s="128">
        <v>4.4000000000000004</v>
      </c>
    </row>
    <row r="172" spans="1:9" x14ac:dyDescent="0.3">
      <c r="A172" s="124" t="str">
        <f t="shared" si="4"/>
        <v>Opslag Waardigheid en Trots vpt-zzp 4vv incl. bh</v>
      </c>
      <c r="B172" s="282" t="s">
        <v>3133</v>
      </c>
      <c r="C172" s="120" t="s">
        <v>3134</v>
      </c>
      <c r="D172" s="434" t="str">
        <f t="shared" si="5"/>
        <v>WV043 Opslag Waardigheid en Trots vpt-zzp 4vv incl. bh</v>
      </c>
      <c r="E172" s="122">
        <v>2.5099999999999998</v>
      </c>
      <c r="F172" s="122">
        <v>0</v>
      </c>
      <c r="G172" s="122">
        <v>0</v>
      </c>
      <c r="H172" s="122">
        <v>0</v>
      </c>
      <c r="I172" s="128">
        <v>2.5099999999999998</v>
      </c>
    </row>
    <row r="173" spans="1:9" x14ac:dyDescent="0.3">
      <c r="A173" s="124" t="str">
        <f t="shared" si="4"/>
        <v>Opslag Waardigheid en Trots vpt-zzp 5vv incl. bh</v>
      </c>
      <c r="B173" s="282" t="s">
        <v>3135</v>
      </c>
      <c r="C173" s="120" t="s">
        <v>3136</v>
      </c>
      <c r="D173" s="434" t="str">
        <f t="shared" si="5"/>
        <v>WV053 Opslag Waardigheid en Trots vpt-zzp 5vv incl. bh</v>
      </c>
      <c r="E173" s="122">
        <v>3.35</v>
      </c>
      <c r="F173" s="122">
        <v>0</v>
      </c>
      <c r="G173" s="122">
        <v>0</v>
      </c>
      <c r="H173" s="122">
        <v>0</v>
      </c>
      <c r="I173" s="128">
        <v>3.35</v>
      </c>
    </row>
    <row r="174" spans="1:9" x14ac:dyDescent="0.3">
      <c r="A174" s="124" t="str">
        <f t="shared" si="4"/>
        <v>Opslag Waardigheid en Trots vpt-zzp 6vv incl. bh</v>
      </c>
      <c r="B174" s="282" t="s">
        <v>3137</v>
      </c>
      <c r="C174" s="120" t="s">
        <v>3138</v>
      </c>
      <c r="D174" s="434" t="str">
        <f t="shared" si="5"/>
        <v>WV063 Opslag Waardigheid en Trots vpt-zzp 6vv incl. bh</v>
      </c>
      <c r="E174" s="122">
        <v>3.35</v>
      </c>
      <c r="F174" s="122">
        <v>0</v>
      </c>
      <c r="G174" s="122">
        <v>0</v>
      </c>
      <c r="H174" s="122">
        <v>0</v>
      </c>
      <c r="I174" s="128">
        <v>3.35</v>
      </c>
    </row>
    <row r="175" spans="1:9" x14ac:dyDescent="0.3">
      <c r="A175" s="124" t="str">
        <f t="shared" si="4"/>
        <v>Opslag Waardigheid en Trots vpt-zzp 7vv incl. bh</v>
      </c>
      <c r="B175" s="282" t="s">
        <v>3139</v>
      </c>
      <c r="C175" s="120" t="s">
        <v>3140</v>
      </c>
      <c r="D175" s="434" t="str">
        <f t="shared" si="5"/>
        <v>WV073 Opslag Waardigheid en Trots vpt-zzp 7vv incl. bh</v>
      </c>
      <c r="E175" s="122">
        <v>4</v>
      </c>
      <c r="F175" s="122">
        <v>0</v>
      </c>
      <c r="G175" s="122">
        <v>0</v>
      </c>
      <c r="H175" s="122">
        <v>0</v>
      </c>
      <c r="I175" s="128">
        <v>4</v>
      </c>
    </row>
    <row r="176" spans="1:9" x14ac:dyDescent="0.3">
      <c r="A176" s="124" t="str">
        <f t="shared" si="4"/>
        <v>Opslag Waardigheid en Trots vpt-zzp 8vv incl. bh</v>
      </c>
      <c r="B176" s="282" t="s">
        <v>3141</v>
      </c>
      <c r="C176" s="120" t="s">
        <v>3142</v>
      </c>
      <c r="D176" s="434" t="str">
        <f t="shared" si="5"/>
        <v>WV083 Opslag Waardigheid en Trots vpt-zzp 8vv incl. bh</v>
      </c>
      <c r="E176" s="122">
        <v>4.5599999999999996</v>
      </c>
      <c r="F176" s="122">
        <v>0</v>
      </c>
      <c r="G176" s="122">
        <v>0</v>
      </c>
      <c r="H176" s="122">
        <v>0</v>
      </c>
      <c r="I176" s="128">
        <v>4.5599999999999996</v>
      </c>
    </row>
    <row r="177" spans="1:9" x14ac:dyDescent="0.3">
      <c r="A177" s="124" t="str">
        <f t="shared" si="4"/>
        <v>Opslag Waardigheid en Trots vpt-zzp 9bvv incl. bh</v>
      </c>
      <c r="B177" s="282" t="s">
        <v>3143</v>
      </c>
      <c r="C177" s="120" t="s">
        <v>3144</v>
      </c>
      <c r="D177" s="434" t="str">
        <f t="shared" si="5"/>
        <v>WV097 Opslag Waardigheid en Trots vpt-zzp 9bvv incl. bh</v>
      </c>
      <c r="E177" s="122">
        <v>3.97</v>
      </c>
      <c r="F177" s="122">
        <v>0</v>
      </c>
      <c r="G177" s="122">
        <v>0</v>
      </c>
      <c r="H177" s="122">
        <v>0</v>
      </c>
      <c r="I177" s="128">
        <v>3.97</v>
      </c>
    </row>
    <row r="178" spans="1:9" x14ac:dyDescent="0.3">
      <c r="A178" s="124" t="str">
        <f t="shared" si="4"/>
        <v>Opslag Waardigheid en Trots vpt-zzp 10vv incl. bh</v>
      </c>
      <c r="B178" s="282" t="s">
        <v>3145</v>
      </c>
      <c r="C178" s="120" t="s">
        <v>3146</v>
      </c>
      <c r="D178" s="434" t="str">
        <f t="shared" si="5"/>
        <v>WV103 Opslag Waardigheid en Trots vpt-zzp 10vv incl. bh</v>
      </c>
      <c r="E178" s="122">
        <v>4.93</v>
      </c>
      <c r="F178" s="122">
        <v>0</v>
      </c>
      <c r="G178" s="122">
        <v>0</v>
      </c>
      <c r="H178" s="122">
        <v>0</v>
      </c>
      <c r="I178" s="128">
        <v>4.93</v>
      </c>
    </row>
    <row r="179" spans="1:9" x14ac:dyDescent="0.3">
      <c r="A179" s="124" t="str">
        <f t="shared" si="4"/>
        <v/>
      </c>
      <c r="D179" s="434" t="str">
        <f t="shared" si="5"/>
        <v xml:space="preserve"> </v>
      </c>
      <c r="I179" s="128">
        <v>0</v>
      </c>
    </row>
    <row r="180" spans="1:9" x14ac:dyDescent="0.3">
      <c r="A180" s="124" t="str">
        <f t="shared" si="4"/>
        <v/>
      </c>
      <c r="D180" s="434" t="str">
        <f t="shared" si="5"/>
        <v xml:space="preserve"> </v>
      </c>
      <c r="I180" s="128">
        <v>0</v>
      </c>
    </row>
    <row r="181" spans="1:9" x14ac:dyDescent="0.3">
      <c r="A181" s="124" t="str">
        <f t="shared" si="4"/>
        <v/>
      </c>
      <c r="D181" s="434" t="str">
        <f t="shared" si="5"/>
        <v xml:space="preserve"> </v>
      </c>
      <c r="I181" s="128">
        <v>0</v>
      </c>
    </row>
    <row r="182" spans="1:9" x14ac:dyDescent="0.3">
      <c r="A182" s="124" t="str">
        <f t="shared" si="4"/>
        <v/>
      </c>
      <c r="D182" s="434" t="str">
        <f t="shared" si="5"/>
        <v xml:space="preserve"> </v>
      </c>
      <c r="I182" s="128">
        <v>0</v>
      </c>
    </row>
    <row r="184" spans="1:9" x14ac:dyDescent="0.3">
      <c r="A184" s="121"/>
    </row>
    <row r="186" spans="1:9" x14ac:dyDescent="0.3">
      <c r="I186" s="131"/>
    </row>
    <row r="187" spans="1:9" x14ac:dyDescent="0.3">
      <c r="I187" s="131"/>
    </row>
    <row r="188" spans="1:9" x14ac:dyDescent="0.3">
      <c r="I188" s="131"/>
    </row>
    <row r="189" spans="1:9" x14ac:dyDescent="0.3">
      <c r="I189" s="131"/>
    </row>
    <row r="190" spans="1:9" x14ac:dyDescent="0.3">
      <c r="I190" s="131"/>
    </row>
    <row r="191" spans="1:9" x14ac:dyDescent="0.3">
      <c r="I191" s="131"/>
    </row>
    <row r="192" spans="1:9" x14ac:dyDescent="0.3">
      <c r="I192" s="131"/>
    </row>
    <row r="193" spans="1:9" x14ac:dyDescent="0.3">
      <c r="I193" s="131"/>
    </row>
    <row r="195" spans="1:9" x14ac:dyDescent="0.3">
      <c r="A195" s="121"/>
      <c r="I195" s="131"/>
    </row>
    <row r="196" spans="1:9" x14ac:dyDescent="0.3">
      <c r="I196" s="131"/>
    </row>
    <row r="197" spans="1:9" x14ac:dyDescent="0.3">
      <c r="I197" s="131"/>
    </row>
    <row r="198" spans="1:9" x14ac:dyDescent="0.3">
      <c r="I198" s="131"/>
    </row>
    <row r="199" spans="1:9" x14ac:dyDescent="0.3">
      <c r="I199" s="131"/>
    </row>
    <row r="200" spans="1:9" x14ac:dyDescent="0.3">
      <c r="I200" s="131"/>
    </row>
    <row r="201" spans="1:9" x14ac:dyDescent="0.3">
      <c r="I201" s="131"/>
    </row>
    <row r="202" spans="1:9" x14ac:dyDescent="0.3">
      <c r="A202" s="120"/>
      <c r="I202" s="131"/>
    </row>
    <row r="203" spans="1:9" x14ac:dyDescent="0.3">
      <c r="A203" s="120"/>
      <c r="I203" s="131"/>
    </row>
    <row r="204" spans="1:9" x14ac:dyDescent="0.3">
      <c r="A204" s="120"/>
      <c r="I204" s="131"/>
    </row>
    <row r="205" spans="1:9" x14ac:dyDescent="0.3">
      <c r="A205" s="120"/>
      <c r="I205" s="131"/>
    </row>
    <row r="206" spans="1:9" x14ac:dyDescent="0.3">
      <c r="A206" s="120"/>
      <c r="I206" s="131"/>
    </row>
    <row r="207" spans="1:9" x14ac:dyDescent="0.3">
      <c r="A207" s="120"/>
      <c r="I207" s="131"/>
    </row>
    <row r="208" spans="1:9" x14ac:dyDescent="0.3">
      <c r="A208" s="120"/>
      <c r="I208" s="131"/>
    </row>
    <row r="209" spans="1:9" x14ac:dyDescent="0.3">
      <c r="A209" s="120"/>
      <c r="I209" s="131"/>
    </row>
    <row r="210" spans="1:9" x14ac:dyDescent="0.3">
      <c r="A210" s="120"/>
      <c r="I210" s="131"/>
    </row>
    <row r="211" spans="1:9" x14ac:dyDescent="0.3">
      <c r="A211" s="120"/>
      <c r="I211" s="131"/>
    </row>
    <row r="212" spans="1:9" x14ac:dyDescent="0.3">
      <c r="A212" s="120"/>
      <c r="I212" s="131"/>
    </row>
    <row r="213" spans="1:9" x14ac:dyDescent="0.3">
      <c r="A213" s="120"/>
      <c r="I213" s="131"/>
    </row>
  </sheetData>
  <sheetProtection algorithmName="SHA-512" hashValue="8LvNPZtNQxKBvaIn1/0IYUtVGp1GW0NwKa2KKYNpZns9Dk7KiLP9UMSjgDuCIZms/QvohQicwnuSas/oBoTxSg==" saltValue="xKdwLnGpNs055Hn+WKubQQ==" spinCount="100000" sheet="1" objects="1" scenario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9"/>
  <dimension ref="A1:M277"/>
  <sheetViews>
    <sheetView workbookViewId="0">
      <selection activeCell="C27" sqref="C27"/>
    </sheetView>
  </sheetViews>
  <sheetFormatPr defaultColWidth="8.6640625" defaultRowHeight="14.4" x14ac:dyDescent="0.3"/>
  <cols>
    <col min="1" max="1" width="8.6640625" style="124"/>
    <col min="2" max="2" width="12.88671875" style="282" customWidth="1"/>
    <col min="3" max="3" width="61.109375" style="120" bestFit="1" customWidth="1"/>
    <col min="4" max="4" width="61.109375" style="120" customWidth="1"/>
    <col min="5" max="5" width="41.33203125" style="120" customWidth="1"/>
    <col min="6" max="6" width="28.44140625" style="122" customWidth="1"/>
    <col min="7" max="8" width="26.109375" style="122" customWidth="1"/>
    <col min="9" max="9" width="42.109375" style="122" bestFit="1" customWidth="1"/>
    <col min="10" max="10" width="28" style="122" customWidth="1"/>
    <col min="11" max="16384" width="8.6640625" style="120"/>
  </cols>
  <sheetData>
    <row r="1" spans="1:13" ht="15" x14ac:dyDescent="0.25">
      <c r="A1" s="121" t="s">
        <v>3589</v>
      </c>
    </row>
    <row r="2" spans="1:13" ht="15" x14ac:dyDescent="0.25">
      <c r="A2" s="121"/>
      <c r="E2" s="123" t="s">
        <v>3017</v>
      </c>
      <c r="F2" s="123" t="s">
        <v>3018</v>
      </c>
      <c r="G2" s="123" t="s">
        <v>3019</v>
      </c>
      <c r="H2" s="123" t="s">
        <v>3020</v>
      </c>
      <c r="I2" s="122" t="s">
        <v>3561</v>
      </c>
      <c r="J2" s="123" t="s">
        <v>3562</v>
      </c>
    </row>
    <row r="3" spans="1:13" ht="15" x14ac:dyDescent="0.25">
      <c r="A3" s="121"/>
      <c r="I3" s="125" t="s">
        <v>3022</v>
      </c>
    </row>
    <row r="4" spans="1:13" s="124" customFormat="1" ht="15" customHeight="1" x14ac:dyDescent="0.15">
      <c r="B4" s="126" t="s">
        <v>3023</v>
      </c>
      <c r="C4" s="121" t="s">
        <v>0</v>
      </c>
      <c r="D4" s="121"/>
      <c r="E4" s="126" t="s">
        <v>3590</v>
      </c>
      <c r="F4" s="125" t="s">
        <v>3591</v>
      </c>
      <c r="G4" s="125" t="s">
        <v>3025</v>
      </c>
      <c r="H4" s="125" t="s">
        <v>3026</v>
      </c>
      <c r="I4" s="125" t="s">
        <v>3027</v>
      </c>
      <c r="J4" s="125" t="s">
        <v>3028</v>
      </c>
    </row>
    <row r="5" spans="1:13" ht="15" x14ac:dyDescent="0.25">
      <c r="A5" s="121" t="s">
        <v>3029</v>
      </c>
    </row>
    <row r="6" spans="1:13" ht="15" x14ac:dyDescent="0.25">
      <c r="B6" s="282" t="s">
        <v>254</v>
      </c>
      <c r="C6" s="120" t="s">
        <v>3148</v>
      </c>
      <c r="D6" s="120" t="s">
        <v>2804</v>
      </c>
      <c r="E6" s="122">
        <v>46.543332220103473</v>
      </c>
      <c r="F6" s="122">
        <v>25.07466255282586</v>
      </c>
      <c r="G6" s="122">
        <v>26.33</v>
      </c>
      <c r="H6" s="122">
        <v>1.92</v>
      </c>
      <c r="I6" s="122">
        <v>0</v>
      </c>
      <c r="J6" s="122">
        <v>99.87</v>
      </c>
      <c r="L6" s="374"/>
      <c r="M6" s="374"/>
    </row>
    <row r="7" spans="1:13" ht="15" x14ac:dyDescent="0.25">
      <c r="B7" s="282" t="s">
        <v>298</v>
      </c>
      <c r="C7" s="120" t="s">
        <v>3149</v>
      </c>
      <c r="D7" s="120" t="s">
        <v>2805</v>
      </c>
      <c r="E7" s="122">
        <v>69.796531732239572</v>
      </c>
      <c r="F7" s="122">
        <v>28.711627236385482</v>
      </c>
      <c r="G7" s="122">
        <v>27.65</v>
      </c>
      <c r="H7" s="122">
        <v>1.92</v>
      </c>
      <c r="I7" s="122">
        <v>0</v>
      </c>
      <c r="J7" s="122">
        <v>128.08000000000001</v>
      </c>
      <c r="L7" s="374"/>
    </row>
    <row r="8" spans="1:13" ht="15" x14ac:dyDescent="0.25">
      <c r="B8" s="282" t="s">
        <v>324</v>
      </c>
      <c r="C8" s="120" t="s">
        <v>3150</v>
      </c>
      <c r="D8" s="120" t="s">
        <v>2806</v>
      </c>
      <c r="E8" s="122">
        <v>95.34655557886407</v>
      </c>
      <c r="F8" s="122">
        <v>32.170843890642047</v>
      </c>
      <c r="G8" s="122">
        <v>30.19</v>
      </c>
      <c r="H8" s="122">
        <v>1.92</v>
      </c>
      <c r="I8" s="122">
        <v>0</v>
      </c>
      <c r="J8" s="122">
        <v>159.63</v>
      </c>
      <c r="L8" s="374"/>
    </row>
    <row r="9" spans="1:13" ht="15" x14ac:dyDescent="0.25">
      <c r="B9" s="282" t="s">
        <v>128</v>
      </c>
      <c r="C9" s="120" t="s">
        <v>3151</v>
      </c>
      <c r="D9" s="120" t="s">
        <v>2807</v>
      </c>
      <c r="E9" s="122">
        <v>100.44</v>
      </c>
      <c r="F9" s="122">
        <v>33.479999999999997</v>
      </c>
      <c r="G9" s="122">
        <v>30.63</v>
      </c>
      <c r="H9" s="122">
        <v>1.92</v>
      </c>
      <c r="I9" s="122">
        <v>0</v>
      </c>
      <c r="J9" s="122">
        <v>166.47</v>
      </c>
      <c r="L9" s="374"/>
    </row>
    <row r="10" spans="1:13" ht="15" x14ac:dyDescent="0.25">
      <c r="B10" s="282" t="s">
        <v>95</v>
      </c>
      <c r="C10" s="120" t="s">
        <v>3152</v>
      </c>
      <c r="D10" s="120" t="s">
        <v>2808</v>
      </c>
      <c r="E10" s="122">
        <v>137.83500000000001</v>
      </c>
      <c r="F10" s="122">
        <v>45.945</v>
      </c>
      <c r="G10" s="122">
        <v>30.16</v>
      </c>
      <c r="H10" s="122">
        <v>2.52</v>
      </c>
      <c r="I10" s="122">
        <v>0</v>
      </c>
      <c r="J10" s="122">
        <v>216.46</v>
      </c>
      <c r="L10" s="374"/>
    </row>
    <row r="11" spans="1:13" ht="15" x14ac:dyDescent="0.25">
      <c r="B11" s="282" t="s">
        <v>327</v>
      </c>
      <c r="C11" s="120" t="s">
        <v>3153</v>
      </c>
      <c r="D11" s="120" t="s">
        <v>2809</v>
      </c>
      <c r="E11" s="122">
        <v>138.0975</v>
      </c>
      <c r="F11" s="122">
        <v>46.032499999999999</v>
      </c>
      <c r="G11" s="122">
        <v>30.07</v>
      </c>
      <c r="H11" s="122">
        <v>2.52</v>
      </c>
      <c r="I11" s="122">
        <v>0</v>
      </c>
      <c r="J11" s="122">
        <v>216.72</v>
      </c>
      <c r="L11" s="374"/>
    </row>
    <row r="12" spans="1:13" ht="15" x14ac:dyDescent="0.25">
      <c r="B12" s="282" t="s">
        <v>247</v>
      </c>
      <c r="C12" s="120" t="s">
        <v>3154</v>
      </c>
      <c r="D12" s="120" t="s">
        <v>2810</v>
      </c>
      <c r="E12" s="122">
        <v>162.22500000000002</v>
      </c>
      <c r="F12" s="122">
        <v>54.075000000000003</v>
      </c>
      <c r="G12" s="122">
        <v>31.05</v>
      </c>
      <c r="H12" s="122">
        <v>2.52</v>
      </c>
      <c r="I12" s="122">
        <v>0</v>
      </c>
      <c r="J12" s="122">
        <v>249.87</v>
      </c>
      <c r="L12" s="374"/>
    </row>
    <row r="13" spans="1:13" ht="15" x14ac:dyDescent="0.25">
      <c r="B13" s="282" t="s">
        <v>98</v>
      </c>
      <c r="C13" s="120" t="s">
        <v>3155</v>
      </c>
      <c r="D13" s="120" t="s">
        <v>2811</v>
      </c>
      <c r="E13" s="122">
        <v>189.3075</v>
      </c>
      <c r="F13" s="122">
        <v>63.102499999999999</v>
      </c>
      <c r="G13" s="122">
        <v>31.99</v>
      </c>
      <c r="H13" s="122">
        <v>3.04</v>
      </c>
      <c r="I13" s="122">
        <v>0</v>
      </c>
      <c r="J13" s="122">
        <v>287.44</v>
      </c>
      <c r="L13" s="374"/>
    </row>
    <row r="14" spans="1:13" ht="15" x14ac:dyDescent="0.25">
      <c r="B14" s="282" t="s">
        <v>572</v>
      </c>
      <c r="C14" s="120" t="s">
        <v>3156</v>
      </c>
      <c r="D14" s="120" t="s">
        <v>2812</v>
      </c>
      <c r="E14" s="122">
        <v>134.35499999999999</v>
      </c>
      <c r="F14" s="122">
        <v>44.784999999999997</v>
      </c>
      <c r="G14" s="122">
        <v>29.26</v>
      </c>
      <c r="H14" s="122">
        <v>3.15</v>
      </c>
      <c r="I14" s="122">
        <v>0</v>
      </c>
      <c r="J14" s="122">
        <v>211.55</v>
      </c>
      <c r="L14" s="374"/>
    </row>
    <row r="15" spans="1:13" ht="15" x14ac:dyDescent="0.25">
      <c r="B15" s="282" t="s">
        <v>384</v>
      </c>
      <c r="C15" s="120" t="s">
        <v>3157</v>
      </c>
      <c r="D15" s="120" t="s">
        <v>2813</v>
      </c>
      <c r="E15" s="122">
        <v>207.13499999999999</v>
      </c>
      <c r="F15" s="122">
        <v>69.045000000000002</v>
      </c>
      <c r="G15" s="122">
        <v>31.99</v>
      </c>
      <c r="H15" s="122">
        <v>2.52</v>
      </c>
      <c r="I15" s="122">
        <v>0</v>
      </c>
      <c r="J15" s="122">
        <v>310.69</v>
      </c>
      <c r="L15" s="374"/>
    </row>
    <row r="16" spans="1:13" ht="15" x14ac:dyDescent="0.25">
      <c r="B16" s="282" t="s">
        <v>62</v>
      </c>
      <c r="C16" s="120" t="s">
        <v>3158</v>
      </c>
      <c r="D16" s="120" t="s">
        <v>2814</v>
      </c>
      <c r="E16" s="122">
        <v>111.83456371587619</v>
      </c>
      <c r="F16" s="122">
        <v>38.215066776522747</v>
      </c>
      <c r="G16" s="122">
        <v>30.64</v>
      </c>
      <c r="H16" s="122">
        <v>2.59</v>
      </c>
      <c r="I16" s="122">
        <v>0</v>
      </c>
      <c r="J16" s="122">
        <v>183.28</v>
      </c>
      <c r="L16" s="374"/>
    </row>
    <row r="17" spans="1:12" ht="15" x14ac:dyDescent="0.25">
      <c r="A17" s="120"/>
      <c r="B17" s="282" t="s">
        <v>342</v>
      </c>
      <c r="C17" s="120" t="s">
        <v>3159</v>
      </c>
      <c r="D17" s="120" t="s">
        <v>2815</v>
      </c>
      <c r="E17" s="122">
        <v>122.73750000000001</v>
      </c>
      <c r="F17" s="122">
        <v>40.912500000000001</v>
      </c>
      <c r="G17" s="122">
        <v>31.09</v>
      </c>
      <c r="H17" s="122">
        <v>2.59</v>
      </c>
      <c r="I17" s="122">
        <v>0</v>
      </c>
      <c r="J17" s="122">
        <v>197.33</v>
      </c>
      <c r="L17" s="374"/>
    </row>
    <row r="18" spans="1:12" ht="15" x14ac:dyDescent="0.25">
      <c r="A18" s="120"/>
      <c r="B18" s="282" t="s">
        <v>270</v>
      </c>
      <c r="C18" s="120" t="s">
        <v>3160</v>
      </c>
      <c r="D18" s="120" t="s">
        <v>2816</v>
      </c>
      <c r="E18" s="122">
        <v>161.22</v>
      </c>
      <c r="F18" s="122">
        <v>53.74</v>
      </c>
      <c r="G18" s="122">
        <v>31.09</v>
      </c>
      <c r="H18" s="122">
        <v>4</v>
      </c>
      <c r="I18" s="122">
        <v>0</v>
      </c>
      <c r="J18" s="122">
        <v>250.05</v>
      </c>
      <c r="L18" s="374"/>
    </row>
    <row r="19" spans="1:12" ht="15" x14ac:dyDescent="0.25">
      <c r="A19" s="120"/>
      <c r="B19" s="282" t="s">
        <v>284</v>
      </c>
      <c r="C19" s="120" t="s">
        <v>3161</v>
      </c>
      <c r="D19" s="120" t="s">
        <v>2817</v>
      </c>
      <c r="E19" s="122">
        <v>161.5275</v>
      </c>
      <c r="F19" s="122">
        <v>53.842500000000001</v>
      </c>
      <c r="G19" s="122">
        <v>31.77</v>
      </c>
      <c r="H19" s="122">
        <v>4</v>
      </c>
      <c r="I19" s="122">
        <v>0</v>
      </c>
      <c r="J19" s="122">
        <v>251.14</v>
      </c>
      <c r="L19" s="374"/>
    </row>
    <row r="20" spans="1:12" ht="15" x14ac:dyDescent="0.25">
      <c r="A20" s="120"/>
      <c r="B20" s="282" t="s">
        <v>164</v>
      </c>
      <c r="C20" s="120" t="s">
        <v>3162</v>
      </c>
      <c r="D20" s="120" t="s">
        <v>2818</v>
      </c>
      <c r="E20" s="122">
        <v>192.3075</v>
      </c>
      <c r="F20" s="122">
        <v>64.102500000000006</v>
      </c>
      <c r="G20" s="122">
        <v>32.75</v>
      </c>
      <c r="H20" s="122">
        <v>4</v>
      </c>
      <c r="I20" s="122">
        <v>0</v>
      </c>
      <c r="J20" s="122">
        <v>293.16000000000003</v>
      </c>
      <c r="L20" s="374"/>
    </row>
    <row r="21" spans="1:12" ht="15" x14ac:dyDescent="0.25">
      <c r="A21" s="120"/>
      <c r="B21" s="282" t="s">
        <v>371</v>
      </c>
      <c r="C21" s="120" t="s">
        <v>3163</v>
      </c>
      <c r="D21" s="120" t="s">
        <v>2819</v>
      </c>
      <c r="E21" s="122">
        <v>219.40500000000003</v>
      </c>
      <c r="F21" s="122">
        <v>73.135000000000005</v>
      </c>
      <c r="G21" s="122">
        <v>33.69</v>
      </c>
      <c r="H21" s="122">
        <v>5.1100000000000003</v>
      </c>
      <c r="I21" s="122">
        <v>0</v>
      </c>
      <c r="J21" s="122">
        <v>331.34</v>
      </c>
      <c r="L21" s="374"/>
    </row>
    <row r="22" spans="1:12" ht="15" x14ac:dyDescent="0.25">
      <c r="A22" s="120"/>
      <c r="B22" s="282" t="s">
        <v>570</v>
      </c>
      <c r="C22" s="120" t="s">
        <v>3164</v>
      </c>
      <c r="D22" s="120" t="s">
        <v>2820</v>
      </c>
      <c r="E22" s="122">
        <v>191.54249999999999</v>
      </c>
      <c r="F22" s="122">
        <v>63.847499999999997</v>
      </c>
      <c r="G22" s="122">
        <v>39.82</v>
      </c>
      <c r="H22" s="122">
        <v>5.42</v>
      </c>
      <c r="I22" s="122">
        <v>0</v>
      </c>
      <c r="J22" s="122">
        <v>300.63</v>
      </c>
      <c r="L22" s="374"/>
    </row>
    <row r="23" spans="1:12" ht="15" x14ac:dyDescent="0.25">
      <c r="A23" s="120"/>
      <c r="B23" s="282" t="s">
        <v>130</v>
      </c>
      <c r="C23" s="120" t="s">
        <v>3165</v>
      </c>
      <c r="D23" s="120" t="s">
        <v>2821</v>
      </c>
      <c r="E23" s="122">
        <v>237.34499999999997</v>
      </c>
      <c r="F23" s="122">
        <v>79.114999999999995</v>
      </c>
      <c r="G23" s="122">
        <v>33.69</v>
      </c>
      <c r="H23" s="122">
        <v>4</v>
      </c>
      <c r="I23" s="122">
        <v>0</v>
      </c>
      <c r="J23" s="122">
        <v>354.15</v>
      </c>
      <c r="L23" s="374"/>
    </row>
    <row r="24" spans="1:12" ht="15" x14ac:dyDescent="0.25">
      <c r="A24" s="120"/>
      <c r="D24" s="120" t="s">
        <v>1164</v>
      </c>
      <c r="E24" s="122"/>
      <c r="L24" s="374"/>
    </row>
    <row r="25" spans="1:12" ht="15" x14ac:dyDescent="0.25">
      <c r="A25" s="120"/>
      <c r="B25" s="282" t="s">
        <v>375</v>
      </c>
      <c r="C25" s="120" t="s">
        <v>3166</v>
      </c>
      <c r="D25" s="120" t="s">
        <v>2822</v>
      </c>
      <c r="E25" s="122">
        <v>52.536126454209516</v>
      </c>
      <c r="F25" s="122">
        <v>24.555894086642635</v>
      </c>
      <c r="G25" s="122">
        <v>18.25</v>
      </c>
      <c r="H25" s="122">
        <v>2.2799999999999998</v>
      </c>
      <c r="I25" s="122">
        <v>0</v>
      </c>
      <c r="J25" s="122">
        <v>97.62</v>
      </c>
      <c r="L25" s="374"/>
    </row>
    <row r="26" spans="1:12" x14ac:dyDescent="0.3">
      <c r="A26" s="120"/>
      <c r="B26" s="282" t="s">
        <v>315</v>
      </c>
      <c r="C26" s="120" t="s">
        <v>3167</v>
      </c>
      <c r="D26" s="120" t="s">
        <v>2823</v>
      </c>
      <c r="E26" s="122">
        <v>111.16601617252569</v>
      </c>
      <c r="F26" s="122">
        <v>27.819209796349149</v>
      </c>
      <c r="G26" s="122">
        <v>18.25</v>
      </c>
      <c r="H26" s="122">
        <v>2.2799999999999998</v>
      </c>
      <c r="I26" s="122">
        <v>0</v>
      </c>
      <c r="J26" s="122">
        <v>159.52000000000001</v>
      </c>
      <c r="L26" s="374"/>
    </row>
    <row r="27" spans="1:12" x14ac:dyDescent="0.3">
      <c r="A27" s="120"/>
      <c r="B27" s="282" t="s">
        <v>213</v>
      </c>
      <c r="C27" s="120" t="s">
        <v>3168</v>
      </c>
      <c r="D27" s="120" t="s">
        <v>2824</v>
      </c>
      <c r="E27" s="122">
        <v>105.7189511087348</v>
      </c>
      <c r="F27" s="122">
        <v>34.003719254977142</v>
      </c>
      <c r="G27" s="122">
        <v>24.28</v>
      </c>
      <c r="H27" s="122">
        <v>5.55</v>
      </c>
      <c r="I27" s="122">
        <v>0</v>
      </c>
      <c r="J27" s="122">
        <v>169.55</v>
      </c>
      <c r="L27" s="374"/>
    </row>
    <row r="28" spans="1:12" x14ac:dyDescent="0.3">
      <c r="A28" s="120"/>
      <c r="B28" s="282" t="s">
        <v>335</v>
      </c>
      <c r="C28" s="120" t="s">
        <v>3169</v>
      </c>
      <c r="D28" s="120" t="s">
        <v>2825</v>
      </c>
      <c r="E28" s="122">
        <v>107.3329333215767</v>
      </c>
      <c r="F28" s="122">
        <v>37.901274069223369</v>
      </c>
      <c r="G28" s="122">
        <v>24.28</v>
      </c>
      <c r="H28" s="122">
        <v>5.55</v>
      </c>
      <c r="I28" s="122">
        <v>0</v>
      </c>
      <c r="J28" s="122">
        <v>175.06</v>
      </c>
      <c r="L28" s="374"/>
    </row>
    <row r="29" spans="1:12" x14ac:dyDescent="0.3">
      <c r="A29" s="120"/>
      <c r="B29" s="282" t="s">
        <v>194</v>
      </c>
      <c r="C29" s="120" t="s">
        <v>3170</v>
      </c>
      <c r="D29" s="120" t="s">
        <v>2826</v>
      </c>
      <c r="E29" s="122">
        <v>111.44359364923433</v>
      </c>
      <c r="F29" s="122">
        <v>42.372538673894169</v>
      </c>
      <c r="G29" s="122">
        <v>33.020000000000003</v>
      </c>
      <c r="H29" s="122">
        <v>5.55</v>
      </c>
      <c r="I29" s="122">
        <v>0</v>
      </c>
      <c r="J29" s="122">
        <v>192.39</v>
      </c>
      <c r="L29" s="374"/>
    </row>
    <row r="30" spans="1:12" x14ac:dyDescent="0.3">
      <c r="A30" s="120"/>
      <c r="B30" s="282" t="s">
        <v>154</v>
      </c>
      <c r="C30" s="120" t="s">
        <v>3171</v>
      </c>
      <c r="D30" s="120" t="s">
        <v>2827</v>
      </c>
      <c r="E30" s="122">
        <v>239.40715200665261</v>
      </c>
      <c r="F30" s="122">
        <v>58.444011775354397</v>
      </c>
      <c r="G30" s="122">
        <v>29.95</v>
      </c>
      <c r="H30" s="122">
        <v>5.55</v>
      </c>
      <c r="I30" s="122">
        <v>0</v>
      </c>
      <c r="J30" s="122">
        <v>333.35</v>
      </c>
      <c r="L30" s="374"/>
    </row>
    <row r="31" spans="1:12" x14ac:dyDescent="0.3">
      <c r="A31" s="120"/>
      <c r="B31" s="282" t="s">
        <v>260</v>
      </c>
      <c r="C31" s="120" t="s">
        <v>3172</v>
      </c>
      <c r="D31" s="120" t="s">
        <v>2828</v>
      </c>
      <c r="E31" s="122">
        <v>270.95391453621744</v>
      </c>
      <c r="F31" s="122">
        <v>60.666130757409924</v>
      </c>
      <c r="G31" s="122">
        <v>34.25</v>
      </c>
      <c r="H31" s="122">
        <v>5.55</v>
      </c>
      <c r="I31" s="122">
        <v>0</v>
      </c>
      <c r="J31" s="122">
        <v>371.42</v>
      </c>
      <c r="L31" s="374"/>
    </row>
    <row r="32" spans="1:12" x14ac:dyDescent="0.3">
      <c r="A32" s="120"/>
      <c r="B32" s="282" t="s">
        <v>295</v>
      </c>
      <c r="C32" s="120" t="s">
        <v>3173</v>
      </c>
      <c r="D32" s="120" t="s">
        <v>2829</v>
      </c>
      <c r="E32" s="122">
        <v>67.044960320142977</v>
      </c>
      <c r="F32" s="122">
        <v>28.622760641137546</v>
      </c>
      <c r="G32" s="122">
        <v>28.42</v>
      </c>
      <c r="H32" s="122">
        <v>2.89</v>
      </c>
      <c r="I32" s="122">
        <v>0</v>
      </c>
      <c r="J32" s="122">
        <v>126.98</v>
      </c>
      <c r="L32" s="374"/>
    </row>
    <row r="33" spans="1:12" x14ac:dyDescent="0.3">
      <c r="A33" s="120"/>
      <c r="B33" s="282" t="s">
        <v>70</v>
      </c>
      <c r="C33" s="120" t="s">
        <v>3174</v>
      </c>
      <c r="D33" s="120" t="s">
        <v>2830</v>
      </c>
      <c r="E33" s="122">
        <v>134.38041500331164</v>
      </c>
      <c r="F33" s="122">
        <v>32.45037511682655</v>
      </c>
      <c r="G33" s="122">
        <v>28.42</v>
      </c>
      <c r="H33" s="122">
        <v>2.89</v>
      </c>
      <c r="I33" s="122">
        <v>0</v>
      </c>
      <c r="J33" s="122">
        <v>198.14</v>
      </c>
      <c r="L33" s="374"/>
    </row>
    <row r="34" spans="1:12" x14ac:dyDescent="0.3">
      <c r="A34" s="120"/>
      <c r="B34" s="282" t="s">
        <v>322</v>
      </c>
      <c r="C34" s="120" t="s">
        <v>3175</v>
      </c>
      <c r="D34" s="120" t="s">
        <v>2831</v>
      </c>
      <c r="E34" s="122">
        <v>130.37732423354248</v>
      </c>
      <c r="F34" s="122">
        <v>39.428896098586179</v>
      </c>
      <c r="G34" s="122">
        <v>34.44</v>
      </c>
      <c r="H34" s="122">
        <v>6.09</v>
      </c>
      <c r="I34" s="122">
        <v>0</v>
      </c>
      <c r="J34" s="122">
        <v>210.34</v>
      </c>
      <c r="L34" s="374"/>
    </row>
    <row r="35" spans="1:12" x14ac:dyDescent="0.3">
      <c r="A35" s="120"/>
      <c r="B35" s="282" t="s">
        <v>320</v>
      </c>
      <c r="C35" s="120" t="s">
        <v>3176</v>
      </c>
      <c r="D35" s="120" t="s">
        <v>2832</v>
      </c>
      <c r="E35" s="122">
        <v>140.3144108138537</v>
      </c>
      <c r="F35" s="122">
        <v>41.707991549647701</v>
      </c>
      <c r="G35" s="122">
        <v>34.44</v>
      </c>
      <c r="H35" s="122">
        <v>6.09</v>
      </c>
      <c r="I35" s="122">
        <v>0</v>
      </c>
      <c r="J35" s="122">
        <v>222.55</v>
      </c>
      <c r="L35" s="374"/>
    </row>
    <row r="36" spans="1:12" x14ac:dyDescent="0.3">
      <c r="A36" s="120"/>
      <c r="B36" s="282" t="s">
        <v>346</v>
      </c>
      <c r="C36" s="120" t="s">
        <v>3177</v>
      </c>
      <c r="D36" s="120" t="s">
        <v>2833</v>
      </c>
      <c r="E36" s="122">
        <v>137.8101489909757</v>
      </c>
      <c r="F36" s="122">
        <v>45.215623573858203</v>
      </c>
      <c r="G36" s="122">
        <v>44.29</v>
      </c>
      <c r="H36" s="122">
        <v>6.09</v>
      </c>
      <c r="I36" s="122">
        <v>0</v>
      </c>
      <c r="J36" s="122">
        <v>233.41</v>
      </c>
      <c r="L36" s="374"/>
    </row>
    <row r="37" spans="1:12" x14ac:dyDescent="0.3">
      <c r="A37" s="120"/>
      <c r="B37" s="282" t="s">
        <v>243</v>
      </c>
      <c r="C37" s="120" t="s">
        <v>3178</v>
      </c>
      <c r="D37" s="120" t="s">
        <v>2834</v>
      </c>
      <c r="E37" s="122">
        <v>258.78002737377602</v>
      </c>
      <c r="F37" s="122">
        <v>62.028859070863987</v>
      </c>
      <c r="G37" s="122">
        <v>39.28</v>
      </c>
      <c r="H37" s="122">
        <v>6.09</v>
      </c>
      <c r="I37" s="122">
        <v>0</v>
      </c>
      <c r="J37" s="122">
        <v>366.18</v>
      </c>
      <c r="L37" s="374"/>
    </row>
    <row r="38" spans="1:12" x14ac:dyDescent="0.3">
      <c r="A38" s="120"/>
      <c r="B38" s="282" t="s">
        <v>151</v>
      </c>
      <c r="C38" s="120" t="s">
        <v>3179</v>
      </c>
      <c r="D38" s="120" t="s">
        <v>2835</v>
      </c>
      <c r="E38" s="122">
        <v>307.00432709147509</v>
      </c>
      <c r="F38" s="122">
        <v>67.215619545734327</v>
      </c>
      <c r="G38" s="122">
        <v>49.37</v>
      </c>
      <c r="H38" s="122">
        <v>6.09</v>
      </c>
      <c r="I38" s="122">
        <v>0</v>
      </c>
      <c r="J38" s="122">
        <v>429.68</v>
      </c>
      <c r="L38" s="374"/>
    </row>
    <row r="39" spans="1:12" x14ac:dyDescent="0.3">
      <c r="A39" s="120"/>
      <c r="D39" s="120" t="s">
        <v>1164</v>
      </c>
      <c r="E39" s="122"/>
      <c r="L39" s="374"/>
    </row>
    <row r="40" spans="1:12" x14ac:dyDescent="0.3">
      <c r="A40" s="120"/>
      <c r="B40" s="282" t="s">
        <v>175</v>
      </c>
      <c r="C40" s="120" t="s">
        <v>3180</v>
      </c>
      <c r="D40" s="120" t="s">
        <v>2836</v>
      </c>
      <c r="E40" s="122">
        <v>34.807575584330735</v>
      </c>
      <c r="F40" s="122">
        <v>21.937928070118478</v>
      </c>
      <c r="G40" s="122">
        <v>24.54</v>
      </c>
      <c r="H40" s="122">
        <v>1.18</v>
      </c>
      <c r="I40" s="122">
        <v>0</v>
      </c>
      <c r="J40" s="122">
        <v>82.47</v>
      </c>
      <c r="L40" s="374"/>
    </row>
    <row r="41" spans="1:12" x14ac:dyDescent="0.3">
      <c r="A41" s="120"/>
      <c r="B41" s="282" t="s">
        <v>67</v>
      </c>
      <c r="C41" s="120" t="s">
        <v>3181</v>
      </c>
      <c r="D41" s="120" t="s">
        <v>2837</v>
      </c>
      <c r="E41" s="122">
        <v>47.537407046480602</v>
      </c>
      <c r="F41" s="122">
        <v>22.688109985819462</v>
      </c>
      <c r="G41" s="122">
        <v>24.54</v>
      </c>
      <c r="H41" s="122">
        <v>1.18</v>
      </c>
      <c r="I41" s="122">
        <v>0</v>
      </c>
      <c r="J41" s="122">
        <v>95.95</v>
      </c>
      <c r="L41" s="374"/>
    </row>
    <row r="42" spans="1:12" x14ac:dyDescent="0.3">
      <c r="A42" s="120"/>
      <c r="B42" s="282" t="s">
        <v>277</v>
      </c>
      <c r="C42" s="120" t="s">
        <v>3182</v>
      </c>
      <c r="D42" s="120" t="s">
        <v>2838</v>
      </c>
      <c r="E42" s="122">
        <v>64.694337868829408</v>
      </c>
      <c r="F42" s="122">
        <v>29.848205264218375</v>
      </c>
      <c r="G42" s="122">
        <v>32.01</v>
      </c>
      <c r="H42" s="122">
        <v>2.17</v>
      </c>
      <c r="I42" s="122">
        <v>0</v>
      </c>
      <c r="J42" s="122">
        <v>128.72</v>
      </c>
      <c r="L42" s="374"/>
    </row>
    <row r="43" spans="1:12" x14ac:dyDescent="0.3">
      <c r="A43" s="120"/>
      <c r="B43" s="282" t="s">
        <v>149</v>
      </c>
      <c r="C43" s="120" t="s">
        <v>3183</v>
      </c>
      <c r="D43" s="120" t="s">
        <v>2839</v>
      </c>
      <c r="E43" s="122">
        <v>78.971100267037173</v>
      </c>
      <c r="F43" s="122">
        <v>29.95478181315724</v>
      </c>
      <c r="G43" s="122">
        <v>32.01</v>
      </c>
      <c r="H43" s="122">
        <v>2.17</v>
      </c>
      <c r="I43" s="122">
        <v>0</v>
      </c>
      <c r="J43" s="122">
        <v>143.11000000000001</v>
      </c>
      <c r="L43" s="374"/>
    </row>
    <row r="44" spans="1:12" x14ac:dyDescent="0.3">
      <c r="A44" s="120"/>
      <c r="B44" s="282" t="s">
        <v>109</v>
      </c>
      <c r="C44" s="120" t="s">
        <v>3184</v>
      </c>
      <c r="D44" s="120" t="s">
        <v>2840</v>
      </c>
      <c r="E44" s="122">
        <v>74.638907118199299</v>
      </c>
      <c r="F44" s="122">
        <v>26.029747121297458</v>
      </c>
      <c r="G44" s="122">
        <v>24.54</v>
      </c>
      <c r="H44" s="122">
        <v>1.18</v>
      </c>
      <c r="I44" s="122">
        <v>0</v>
      </c>
      <c r="J44" s="122">
        <v>126.39</v>
      </c>
      <c r="L44" s="374"/>
    </row>
    <row r="45" spans="1:12" x14ac:dyDescent="0.3">
      <c r="A45" s="120"/>
      <c r="B45" s="282" t="s">
        <v>192</v>
      </c>
      <c r="C45" s="120" t="s">
        <v>3185</v>
      </c>
      <c r="D45" s="120" t="s">
        <v>2841</v>
      </c>
      <c r="E45" s="122">
        <v>98.599582997768138</v>
      </c>
      <c r="F45" s="122">
        <v>28.960067580183981</v>
      </c>
      <c r="G45" s="122">
        <v>24.54</v>
      </c>
      <c r="H45" s="122">
        <v>1.18</v>
      </c>
      <c r="I45" s="122">
        <v>0</v>
      </c>
      <c r="J45" s="122">
        <v>153.28</v>
      </c>
      <c r="L45" s="374"/>
    </row>
    <row r="46" spans="1:12" x14ac:dyDescent="0.3">
      <c r="A46" s="120"/>
      <c r="B46" s="282" t="s">
        <v>280</v>
      </c>
      <c r="C46" s="120" t="s">
        <v>3186</v>
      </c>
      <c r="D46" s="120" t="s">
        <v>2842</v>
      </c>
      <c r="E46" s="122">
        <v>122.44935883456949</v>
      </c>
      <c r="F46" s="122">
        <v>31.631037328110953</v>
      </c>
      <c r="G46" s="122">
        <v>22.41</v>
      </c>
      <c r="H46" s="122">
        <v>5.33</v>
      </c>
      <c r="I46" s="122">
        <v>0</v>
      </c>
      <c r="J46" s="122">
        <v>181.82</v>
      </c>
      <c r="L46" s="374"/>
    </row>
    <row r="47" spans="1:12" x14ac:dyDescent="0.3">
      <c r="A47" s="120"/>
      <c r="B47" s="282" t="s">
        <v>368</v>
      </c>
      <c r="C47" s="120" t="s">
        <v>3187</v>
      </c>
      <c r="D47" s="120" t="s">
        <v>2843</v>
      </c>
      <c r="E47" s="122">
        <v>102.8111193948871</v>
      </c>
      <c r="F47" s="122">
        <v>30.43711404185585</v>
      </c>
      <c r="G47" s="122">
        <v>22.41</v>
      </c>
      <c r="H47" s="122">
        <v>3.19</v>
      </c>
      <c r="I47" s="122">
        <v>0</v>
      </c>
      <c r="J47" s="122">
        <v>158.85</v>
      </c>
      <c r="L47" s="374"/>
    </row>
    <row r="48" spans="1:12" x14ac:dyDescent="0.3">
      <c r="A48" s="120"/>
      <c r="B48" s="282" t="s">
        <v>81</v>
      </c>
      <c r="C48" s="120" t="s">
        <v>3188</v>
      </c>
      <c r="D48" s="120" t="s">
        <v>2844</v>
      </c>
      <c r="E48" s="122">
        <v>134.74597532761865</v>
      </c>
      <c r="F48" s="122">
        <v>32.470386738555966</v>
      </c>
      <c r="G48" s="122">
        <v>22.41</v>
      </c>
      <c r="H48" s="122">
        <v>5.33</v>
      </c>
      <c r="I48" s="122">
        <v>0</v>
      </c>
      <c r="J48" s="122">
        <v>194.96</v>
      </c>
      <c r="L48" s="374"/>
    </row>
    <row r="49" spans="1:12" x14ac:dyDescent="0.3">
      <c r="A49" s="120"/>
      <c r="B49" s="282" t="s">
        <v>237</v>
      </c>
      <c r="C49" s="120" t="s">
        <v>3189</v>
      </c>
      <c r="D49" s="120" t="s">
        <v>2845</v>
      </c>
      <c r="E49" s="122">
        <v>146.33721536652101</v>
      </c>
      <c r="F49" s="122">
        <v>35.003950105470224</v>
      </c>
      <c r="G49" s="122">
        <v>30.18</v>
      </c>
      <c r="H49" s="122">
        <v>5.33</v>
      </c>
      <c r="I49" s="122">
        <v>0</v>
      </c>
      <c r="J49" s="122">
        <v>216.85</v>
      </c>
      <c r="L49" s="374"/>
    </row>
    <row r="50" spans="1:12" x14ac:dyDescent="0.3">
      <c r="A50" s="120"/>
      <c r="B50" s="282" t="s">
        <v>75</v>
      </c>
      <c r="C50" s="120" t="s">
        <v>3190</v>
      </c>
      <c r="D50" s="120" t="s">
        <v>2846</v>
      </c>
      <c r="E50" s="122">
        <v>103.53397169826503</v>
      </c>
      <c r="F50" s="122">
        <v>32.62411579284327</v>
      </c>
      <c r="G50" s="122">
        <v>32.01</v>
      </c>
      <c r="H50" s="122">
        <v>2.17</v>
      </c>
      <c r="I50" s="122">
        <v>0</v>
      </c>
      <c r="J50" s="122">
        <v>170.34</v>
      </c>
      <c r="L50" s="374"/>
    </row>
    <row r="51" spans="1:12" x14ac:dyDescent="0.3">
      <c r="A51" s="120"/>
      <c r="B51" s="282" t="s">
        <v>83</v>
      </c>
      <c r="C51" s="120" t="s">
        <v>3191</v>
      </c>
      <c r="D51" s="120" t="s">
        <v>2847</v>
      </c>
      <c r="E51" s="122">
        <v>127.75712820769316</v>
      </c>
      <c r="F51" s="122">
        <v>35.658461229047155</v>
      </c>
      <c r="G51" s="122">
        <v>32.01</v>
      </c>
      <c r="H51" s="122">
        <v>2.17</v>
      </c>
      <c r="I51" s="122">
        <v>0</v>
      </c>
      <c r="J51" s="122">
        <v>197.6</v>
      </c>
      <c r="L51" s="374"/>
    </row>
    <row r="52" spans="1:12" x14ac:dyDescent="0.3">
      <c r="A52" s="120"/>
      <c r="B52" s="282" t="s">
        <v>170</v>
      </c>
      <c r="C52" s="120" t="s">
        <v>3192</v>
      </c>
      <c r="D52" s="120" t="s">
        <v>2848</v>
      </c>
      <c r="E52" s="122">
        <v>160.97001075471684</v>
      </c>
      <c r="F52" s="122">
        <v>41.569837235844453</v>
      </c>
      <c r="G52" s="122">
        <v>31.3</v>
      </c>
      <c r="H52" s="122">
        <v>6.18</v>
      </c>
      <c r="I52" s="122">
        <v>0</v>
      </c>
      <c r="J52" s="122">
        <v>240.02</v>
      </c>
      <c r="L52" s="374"/>
    </row>
    <row r="53" spans="1:12" x14ac:dyDescent="0.3">
      <c r="A53" s="120"/>
      <c r="B53" s="282" t="s">
        <v>50</v>
      </c>
      <c r="C53" s="120" t="s">
        <v>3193</v>
      </c>
      <c r="D53" s="120" t="s">
        <v>2849</v>
      </c>
      <c r="E53" s="122">
        <v>141.00179463275623</v>
      </c>
      <c r="F53" s="122">
        <v>39.5605831499945</v>
      </c>
      <c r="G53" s="122">
        <v>31.3</v>
      </c>
      <c r="H53" s="122">
        <v>4.0199999999999996</v>
      </c>
      <c r="I53" s="122">
        <v>0</v>
      </c>
      <c r="J53" s="122">
        <v>215.88</v>
      </c>
      <c r="L53" s="374"/>
    </row>
    <row r="54" spans="1:12" x14ac:dyDescent="0.3">
      <c r="A54" s="120"/>
      <c r="B54" s="282" t="s">
        <v>120</v>
      </c>
      <c r="C54" s="120" t="s">
        <v>3194</v>
      </c>
      <c r="D54" s="120" t="s">
        <v>2850</v>
      </c>
      <c r="E54" s="122">
        <v>177.8121763928053</v>
      </c>
      <c r="F54" s="122">
        <v>44.653296951431479</v>
      </c>
      <c r="G54" s="122">
        <v>31.3</v>
      </c>
      <c r="H54" s="122">
        <v>6.17</v>
      </c>
      <c r="I54" s="122">
        <v>0</v>
      </c>
      <c r="J54" s="122">
        <v>259.94</v>
      </c>
      <c r="L54" s="374"/>
    </row>
    <row r="55" spans="1:12" x14ac:dyDescent="0.3">
      <c r="A55" s="120"/>
      <c r="B55" s="282" t="s">
        <v>199</v>
      </c>
      <c r="C55" s="120" t="s">
        <v>3195</v>
      </c>
      <c r="D55" s="120" t="s">
        <v>2851</v>
      </c>
      <c r="E55" s="122">
        <v>203.62725389461474</v>
      </c>
      <c r="F55" s="122">
        <v>45.886371239854732</v>
      </c>
      <c r="G55" s="122">
        <v>40.97</v>
      </c>
      <c r="H55" s="122">
        <v>6.18</v>
      </c>
      <c r="I55" s="122">
        <v>0</v>
      </c>
      <c r="J55" s="122">
        <v>296.66000000000003</v>
      </c>
      <c r="L55" s="374"/>
    </row>
    <row r="56" spans="1:12" x14ac:dyDescent="0.3">
      <c r="A56" s="120"/>
      <c r="B56" s="282" t="s">
        <v>313</v>
      </c>
      <c r="C56" s="120" t="s">
        <v>3196</v>
      </c>
      <c r="D56" s="120" t="s">
        <v>2852</v>
      </c>
      <c r="E56" s="122">
        <v>86.21858950541484</v>
      </c>
      <c r="F56" s="122">
        <v>30.373152996606457</v>
      </c>
      <c r="G56" s="122">
        <v>24.54</v>
      </c>
      <c r="H56" s="122">
        <v>2.41</v>
      </c>
      <c r="I56" s="122">
        <v>0</v>
      </c>
      <c r="J56" s="122">
        <v>143.54</v>
      </c>
      <c r="L56" s="374"/>
    </row>
    <row r="57" spans="1:12" x14ac:dyDescent="0.3">
      <c r="A57" s="120"/>
      <c r="B57" s="282" t="s">
        <v>185</v>
      </c>
      <c r="C57" s="120" t="s">
        <v>3197</v>
      </c>
      <c r="D57" s="120" t="s">
        <v>2853</v>
      </c>
      <c r="E57" s="122">
        <v>117.15381127840296</v>
      </c>
      <c r="F57" s="122">
        <v>34.945582798653817</v>
      </c>
      <c r="G57" s="122">
        <v>24.54</v>
      </c>
      <c r="H57" s="122">
        <v>2.41</v>
      </c>
      <c r="I57" s="122">
        <v>0</v>
      </c>
      <c r="J57" s="122">
        <v>179.05</v>
      </c>
      <c r="L57" s="374"/>
    </row>
    <row r="58" spans="1:12" x14ac:dyDescent="0.3">
      <c r="A58" s="120"/>
      <c r="B58" s="282" t="s">
        <v>226</v>
      </c>
      <c r="C58" s="120" t="s">
        <v>3198</v>
      </c>
      <c r="D58" s="120" t="s">
        <v>2854</v>
      </c>
      <c r="E58" s="122">
        <v>151.5464850502357</v>
      </c>
      <c r="F58" s="122">
        <v>39.167682717785944</v>
      </c>
      <c r="G58" s="122">
        <v>26.52</v>
      </c>
      <c r="H58" s="122">
        <v>7.95</v>
      </c>
      <c r="I58" s="122">
        <v>0</v>
      </c>
      <c r="J58" s="122">
        <v>225.18</v>
      </c>
      <c r="L58" s="374"/>
    </row>
    <row r="59" spans="1:12" x14ac:dyDescent="0.3">
      <c r="A59" s="120"/>
      <c r="B59" s="282" t="s">
        <v>91</v>
      </c>
      <c r="C59" s="120" t="s">
        <v>3199</v>
      </c>
      <c r="D59" s="120" t="s">
        <v>2855</v>
      </c>
      <c r="E59" s="122">
        <v>125.53112951507032</v>
      </c>
      <c r="F59" s="122">
        <v>36.957718627927548</v>
      </c>
      <c r="G59" s="122">
        <v>26.52</v>
      </c>
      <c r="H59" s="122">
        <v>5.72</v>
      </c>
      <c r="I59" s="122">
        <v>0</v>
      </c>
      <c r="J59" s="122">
        <v>194.73</v>
      </c>
      <c r="L59" s="374"/>
    </row>
    <row r="60" spans="1:12" x14ac:dyDescent="0.3">
      <c r="A60" s="120"/>
      <c r="B60" s="282" t="s">
        <v>382</v>
      </c>
      <c r="C60" s="120" t="s">
        <v>3200</v>
      </c>
      <c r="D60" s="120" t="s">
        <v>2856</v>
      </c>
      <c r="E60" s="122">
        <v>193.54835158358637</v>
      </c>
      <c r="F60" s="122">
        <v>45.962254898072935</v>
      </c>
      <c r="G60" s="122">
        <v>26.52</v>
      </c>
      <c r="H60" s="122">
        <v>7.95</v>
      </c>
      <c r="I60" s="122">
        <v>0</v>
      </c>
      <c r="J60" s="122">
        <v>273.98</v>
      </c>
      <c r="L60" s="374"/>
    </row>
    <row r="61" spans="1:12" x14ac:dyDescent="0.3">
      <c r="A61" s="120"/>
      <c r="B61" s="282" t="s">
        <v>122</v>
      </c>
      <c r="C61" s="120" t="s">
        <v>3201</v>
      </c>
      <c r="D61" s="120" t="s">
        <v>2857</v>
      </c>
      <c r="E61" s="122">
        <v>181.55492500965315</v>
      </c>
      <c r="F61" s="122">
        <v>43.298425080202847</v>
      </c>
      <c r="G61" s="122">
        <v>34.299999999999997</v>
      </c>
      <c r="H61" s="122">
        <v>7.95</v>
      </c>
      <c r="I61" s="122">
        <v>0</v>
      </c>
      <c r="J61" s="122">
        <v>267.10000000000002</v>
      </c>
      <c r="L61" s="374"/>
    </row>
    <row r="62" spans="1:12" x14ac:dyDescent="0.3">
      <c r="A62" s="120"/>
      <c r="B62" s="282" t="s">
        <v>115</v>
      </c>
      <c r="C62" s="120" t="s">
        <v>3202</v>
      </c>
      <c r="D62" s="120" t="s">
        <v>2858</v>
      </c>
      <c r="E62" s="122">
        <v>113.44503338646393</v>
      </c>
      <c r="F62" s="122">
        <v>37.235295828100512</v>
      </c>
      <c r="G62" s="122">
        <v>32.01</v>
      </c>
      <c r="H62" s="122">
        <v>3.41</v>
      </c>
      <c r="I62" s="122">
        <v>0</v>
      </c>
      <c r="J62" s="122">
        <v>186.1</v>
      </c>
      <c r="L62" s="374"/>
    </row>
    <row r="63" spans="1:12" x14ac:dyDescent="0.3">
      <c r="A63" s="120"/>
      <c r="B63" s="282" t="s">
        <v>363</v>
      </c>
      <c r="C63" s="120" t="s">
        <v>3203</v>
      </c>
      <c r="D63" s="120" t="s">
        <v>2859</v>
      </c>
      <c r="E63" s="122">
        <v>141.84622070128628</v>
      </c>
      <c r="F63" s="122">
        <v>41.708534181536585</v>
      </c>
      <c r="G63" s="122">
        <v>32.01</v>
      </c>
      <c r="H63" s="122">
        <v>3.41</v>
      </c>
      <c r="I63" s="122">
        <v>0</v>
      </c>
      <c r="J63" s="122">
        <v>218.97</v>
      </c>
      <c r="L63" s="374"/>
    </row>
    <row r="64" spans="1:12" x14ac:dyDescent="0.3">
      <c r="A64" s="120"/>
      <c r="B64" s="282" t="s">
        <v>73</v>
      </c>
      <c r="C64" s="120" t="s">
        <v>3204</v>
      </c>
      <c r="D64" s="120" t="s">
        <v>2860</v>
      </c>
      <c r="E64" s="122">
        <v>187.5694836139667</v>
      </c>
      <c r="F64" s="122">
        <v>48.961158404813233</v>
      </c>
      <c r="G64" s="122">
        <v>35.42</v>
      </c>
      <c r="H64" s="122">
        <v>8.81</v>
      </c>
      <c r="I64" s="122">
        <v>0</v>
      </c>
      <c r="J64" s="122">
        <v>280.76</v>
      </c>
      <c r="L64" s="374"/>
    </row>
    <row r="65" spans="1:12" x14ac:dyDescent="0.3">
      <c r="A65" s="120"/>
      <c r="B65" s="282" t="s">
        <v>60</v>
      </c>
      <c r="C65" s="120" t="s">
        <v>3205</v>
      </c>
      <c r="D65" s="120" t="s">
        <v>2861</v>
      </c>
      <c r="E65" s="122">
        <v>163.31326574816211</v>
      </c>
      <c r="F65" s="122">
        <v>46.102594212460048</v>
      </c>
      <c r="G65" s="122">
        <v>35.42</v>
      </c>
      <c r="H65" s="122">
        <v>6.54</v>
      </c>
      <c r="I65" s="122">
        <v>0</v>
      </c>
      <c r="J65" s="122">
        <v>251.38</v>
      </c>
      <c r="L65" s="374"/>
    </row>
    <row r="66" spans="1:12" x14ac:dyDescent="0.3">
      <c r="A66" s="120"/>
      <c r="B66" s="282" t="s">
        <v>161</v>
      </c>
      <c r="C66" s="120" t="s">
        <v>3206</v>
      </c>
      <c r="D66" s="120" t="s">
        <v>2862</v>
      </c>
      <c r="E66" s="122">
        <v>246.52230375172337</v>
      </c>
      <c r="F66" s="122">
        <v>60.121344118170327</v>
      </c>
      <c r="G66" s="122">
        <v>35.42</v>
      </c>
      <c r="H66" s="122">
        <v>8.81</v>
      </c>
      <c r="I66" s="122">
        <v>0</v>
      </c>
      <c r="J66" s="122">
        <v>350.87</v>
      </c>
      <c r="L66" s="374"/>
    </row>
    <row r="67" spans="1:12" x14ac:dyDescent="0.3">
      <c r="A67" s="120"/>
      <c r="B67" s="282" t="s">
        <v>111</v>
      </c>
      <c r="C67" s="120" t="s">
        <v>3207</v>
      </c>
      <c r="D67" s="120" t="s">
        <v>2863</v>
      </c>
      <c r="E67" s="122">
        <v>235.01930860479786</v>
      </c>
      <c r="F67" s="122">
        <v>56.500605191932316</v>
      </c>
      <c r="G67" s="122">
        <v>45.08</v>
      </c>
      <c r="H67" s="122">
        <v>8.81</v>
      </c>
      <c r="I67" s="122">
        <v>0</v>
      </c>
      <c r="J67" s="122">
        <v>345.41</v>
      </c>
      <c r="L67" s="374"/>
    </row>
    <row r="68" spans="1:12" x14ac:dyDescent="0.3">
      <c r="A68" s="120"/>
      <c r="D68" s="120" t="s">
        <v>1164</v>
      </c>
      <c r="E68" s="122"/>
      <c r="L68" s="374"/>
    </row>
    <row r="69" spans="1:12" x14ac:dyDescent="0.3">
      <c r="A69" s="120"/>
      <c r="B69" s="282" t="s">
        <v>132</v>
      </c>
      <c r="C69" s="120" t="s">
        <v>3208</v>
      </c>
      <c r="D69" s="120" t="s">
        <v>2864</v>
      </c>
      <c r="E69" s="122">
        <v>143.7365023209382</v>
      </c>
      <c r="F69" s="122">
        <v>39.107430769130026</v>
      </c>
      <c r="G69" s="122">
        <v>32.01</v>
      </c>
      <c r="H69" s="122">
        <v>3.41</v>
      </c>
      <c r="I69" s="122">
        <v>0</v>
      </c>
      <c r="J69" s="122">
        <v>218.26</v>
      </c>
      <c r="L69" s="374"/>
    </row>
    <row r="70" spans="1:12" x14ac:dyDescent="0.3">
      <c r="A70" s="120"/>
      <c r="B70" s="282" t="s">
        <v>388</v>
      </c>
      <c r="C70" s="120" t="s">
        <v>3209</v>
      </c>
      <c r="D70" s="120" t="s">
        <v>2865</v>
      </c>
      <c r="E70" s="122">
        <v>179.19890889130627</v>
      </c>
      <c r="F70" s="122">
        <v>44.96328708151735</v>
      </c>
      <c r="G70" s="122">
        <v>32.01</v>
      </c>
      <c r="H70" s="122">
        <v>3.41</v>
      </c>
      <c r="I70" s="122">
        <v>0</v>
      </c>
      <c r="J70" s="122">
        <v>259.58</v>
      </c>
      <c r="L70" s="374"/>
    </row>
    <row r="71" spans="1:12" x14ac:dyDescent="0.3">
      <c r="A71" s="120"/>
      <c r="B71" s="282" t="s">
        <v>145</v>
      </c>
      <c r="C71" s="120" t="s">
        <v>3210</v>
      </c>
      <c r="D71" s="120" t="s">
        <v>2866</v>
      </c>
      <c r="E71" s="122">
        <v>235.7732969370258</v>
      </c>
      <c r="F71" s="122">
        <v>53.427060960450589</v>
      </c>
      <c r="G71" s="122">
        <v>41.64</v>
      </c>
      <c r="H71" s="122">
        <v>6.54</v>
      </c>
      <c r="I71" s="122">
        <v>0</v>
      </c>
      <c r="J71" s="122">
        <v>337.38</v>
      </c>
      <c r="L71" s="374"/>
    </row>
    <row r="72" spans="1:12" x14ac:dyDescent="0.3">
      <c r="A72" s="120"/>
      <c r="B72" s="282" t="s">
        <v>333</v>
      </c>
      <c r="C72" s="120" t="s">
        <v>3211</v>
      </c>
      <c r="D72" s="120" t="s">
        <v>2867</v>
      </c>
      <c r="E72" s="122">
        <v>281.31474689899903</v>
      </c>
      <c r="F72" s="122">
        <v>56.024972658588425</v>
      </c>
      <c r="G72" s="122">
        <v>41.64</v>
      </c>
      <c r="H72" s="122">
        <v>6.54</v>
      </c>
      <c r="I72" s="122">
        <v>0</v>
      </c>
      <c r="J72" s="122">
        <v>385.52</v>
      </c>
      <c r="L72" s="374"/>
    </row>
    <row r="73" spans="1:12" x14ac:dyDescent="0.3">
      <c r="A73" s="120"/>
      <c r="B73" s="282" t="s">
        <v>354</v>
      </c>
      <c r="C73" s="120" t="s">
        <v>3212</v>
      </c>
      <c r="D73" s="120" t="s">
        <v>2868</v>
      </c>
      <c r="E73" s="122">
        <v>263.84349568331595</v>
      </c>
      <c r="F73" s="122">
        <v>55.776835163741971</v>
      </c>
      <c r="G73" s="122">
        <v>41.64</v>
      </c>
      <c r="H73" s="122">
        <v>6.54</v>
      </c>
      <c r="I73" s="122">
        <v>0</v>
      </c>
      <c r="J73" s="122">
        <v>367.8</v>
      </c>
      <c r="L73" s="374"/>
    </row>
    <row r="74" spans="1:12" x14ac:dyDescent="0.3">
      <c r="A74" s="120"/>
      <c r="D74" s="120" t="s">
        <v>1164</v>
      </c>
      <c r="E74" s="122"/>
      <c r="L74" s="374"/>
    </row>
    <row r="75" spans="1:12" x14ac:dyDescent="0.3">
      <c r="A75" s="120"/>
      <c r="B75" s="282" t="s">
        <v>564</v>
      </c>
      <c r="C75" s="120" t="s">
        <v>3213</v>
      </c>
      <c r="D75" s="120" t="s">
        <v>2869</v>
      </c>
      <c r="E75" s="122">
        <v>278.03249999999997</v>
      </c>
      <c r="F75" s="122">
        <v>92.677499999999995</v>
      </c>
      <c r="G75" s="122">
        <v>41.64</v>
      </c>
      <c r="H75" s="122">
        <v>8.81</v>
      </c>
      <c r="I75" s="122">
        <v>0</v>
      </c>
      <c r="J75" s="122">
        <v>421.16</v>
      </c>
      <c r="L75" s="374"/>
    </row>
    <row r="76" spans="1:12" x14ac:dyDescent="0.3">
      <c r="A76" s="120"/>
      <c r="D76" s="120" t="s">
        <v>1164</v>
      </c>
      <c r="E76" s="122"/>
      <c r="L76" s="374"/>
    </row>
    <row r="77" spans="1:12" x14ac:dyDescent="0.3">
      <c r="A77" s="120"/>
      <c r="B77" s="282" t="s">
        <v>133</v>
      </c>
      <c r="C77" s="120" t="s">
        <v>3214</v>
      </c>
      <c r="D77" s="120" t="s">
        <v>2870</v>
      </c>
      <c r="E77" s="122">
        <v>63.44173492316488</v>
      </c>
      <c r="F77" s="122">
        <v>27.151069885885907</v>
      </c>
      <c r="G77" s="122">
        <v>24.54</v>
      </c>
      <c r="H77" s="122">
        <v>1.77</v>
      </c>
      <c r="I77" s="122">
        <v>0</v>
      </c>
      <c r="J77" s="122">
        <v>116.9</v>
      </c>
      <c r="L77" s="374"/>
    </row>
    <row r="78" spans="1:12" x14ac:dyDescent="0.3">
      <c r="A78" s="120"/>
      <c r="B78" s="282" t="s">
        <v>338</v>
      </c>
      <c r="C78" s="120" t="s">
        <v>3215</v>
      </c>
      <c r="D78" s="120" t="s">
        <v>2871</v>
      </c>
      <c r="E78" s="122">
        <v>92.856642143083491</v>
      </c>
      <c r="F78" s="122">
        <v>29.784918447301283</v>
      </c>
      <c r="G78" s="122">
        <v>24.54</v>
      </c>
      <c r="H78" s="122">
        <v>1.77</v>
      </c>
      <c r="I78" s="122">
        <v>0</v>
      </c>
      <c r="J78" s="122">
        <v>148.94999999999999</v>
      </c>
      <c r="L78" s="374"/>
    </row>
    <row r="79" spans="1:12" x14ac:dyDescent="0.3">
      <c r="A79" s="120"/>
      <c r="B79" s="282" t="s">
        <v>207</v>
      </c>
      <c r="C79" s="120" t="s">
        <v>3216</v>
      </c>
      <c r="D79" s="120" t="s">
        <v>2872</v>
      </c>
      <c r="E79" s="122">
        <v>103.64161990200559</v>
      </c>
      <c r="F79" s="122">
        <v>32.916839781232902</v>
      </c>
      <c r="G79" s="122">
        <v>32.01</v>
      </c>
      <c r="H79" s="122">
        <v>3.24</v>
      </c>
      <c r="I79" s="122">
        <v>0</v>
      </c>
      <c r="J79" s="122">
        <v>171.81</v>
      </c>
      <c r="L79" s="374"/>
    </row>
    <row r="80" spans="1:12" x14ac:dyDescent="0.3">
      <c r="A80" s="120"/>
      <c r="B80" s="282" t="s">
        <v>116</v>
      </c>
      <c r="C80" s="120" t="s">
        <v>3217</v>
      </c>
      <c r="D80" s="120" t="s">
        <v>2873</v>
      </c>
      <c r="E80" s="122">
        <v>128.07370438306955</v>
      </c>
      <c r="F80" s="122">
        <v>35.682522699894065</v>
      </c>
      <c r="G80" s="122">
        <v>32.01</v>
      </c>
      <c r="H80" s="122">
        <v>3.24</v>
      </c>
      <c r="I80" s="122">
        <v>0</v>
      </c>
      <c r="J80" s="122">
        <v>199.01</v>
      </c>
      <c r="L80" s="374"/>
    </row>
    <row r="81" spans="1:12" x14ac:dyDescent="0.3">
      <c r="A81" s="120"/>
      <c r="B81" s="282" t="s">
        <v>76</v>
      </c>
      <c r="C81" s="120" t="s">
        <v>3218</v>
      </c>
      <c r="D81" s="120" t="s">
        <v>2874</v>
      </c>
      <c r="E81" s="122">
        <v>68.211936853337718</v>
      </c>
      <c r="F81" s="122">
        <v>28.395581912984849</v>
      </c>
      <c r="G81" s="122">
        <v>24.54</v>
      </c>
      <c r="H81" s="122">
        <v>1.77</v>
      </c>
      <c r="I81" s="122">
        <v>0</v>
      </c>
      <c r="J81" s="122">
        <v>122.92</v>
      </c>
      <c r="L81" s="374"/>
    </row>
    <row r="82" spans="1:12" x14ac:dyDescent="0.3">
      <c r="A82" s="120"/>
      <c r="B82" s="282" t="s">
        <v>204</v>
      </c>
      <c r="C82" s="120" t="s">
        <v>3219</v>
      </c>
      <c r="D82" s="120" t="s">
        <v>2875</v>
      </c>
      <c r="E82" s="122">
        <v>117.34738617413581</v>
      </c>
      <c r="F82" s="122">
        <v>33.708517954613576</v>
      </c>
      <c r="G82" s="122">
        <v>24.54</v>
      </c>
      <c r="H82" s="122">
        <v>1.77</v>
      </c>
      <c r="I82" s="122">
        <v>0</v>
      </c>
      <c r="J82" s="122">
        <v>177.37</v>
      </c>
      <c r="L82" s="374"/>
    </row>
    <row r="83" spans="1:12" x14ac:dyDescent="0.3">
      <c r="A83" s="120"/>
      <c r="B83" s="282" t="s">
        <v>355</v>
      </c>
      <c r="C83" s="120" t="s">
        <v>3220</v>
      </c>
      <c r="D83" s="120" t="s">
        <v>2876</v>
      </c>
      <c r="E83" s="122">
        <v>110.34790699643699</v>
      </c>
      <c r="F83" s="122">
        <v>34.709882473038299</v>
      </c>
      <c r="G83" s="122">
        <v>24.3</v>
      </c>
      <c r="H83" s="122">
        <v>5.33</v>
      </c>
      <c r="I83" s="122">
        <v>0</v>
      </c>
      <c r="J83" s="122">
        <v>174.69</v>
      </c>
      <c r="L83" s="374"/>
    </row>
    <row r="84" spans="1:12" x14ac:dyDescent="0.3">
      <c r="A84" s="120"/>
      <c r="B84" s="282" t="s">
        <v>180</v>
      </c>
      <c r="C84" s="120" t="s">
        <v>3221</v>
      </c>
      <c r="D84" s="120" t="s">
        <v>2877</v>
      </c>
      <c r="E84" s="122">
        <v>171.94411435178736</v>
      </c>
      <c r="F84" s="122">
        <v>41.597784761787139</v>
      </c>
      <c r="G84" s="122">
        <v>29.42</v>
      </c>
      <c r="H84" s="122">
        <v>5.33</v>
      </c>
      <c r="I84" s="122">
        <v>0</v>
      </c>
      <c r="J84" s="122">
        <v>248.29</v>
      </c>
      <c r="L84" s="374"/>
    </row>
    <row r="85" spans="1:12" x14ac:dyDescent="0.3">
      <c r="A85" s="120"/>
      <c r="B85" s="282" t="s">
        <v>229</v>
      </c>
      <c r="C85" s="120" t="s">
        <v>3222</v>
      </c>
      <c r="D85" s="120" t="s">
        <v>2878</v>
      </c>
      <c r="E85" s="122">
        <v>190.2895794835857</v>
      </c>
      <c r="F85" s="122">
        <v>43.32148734100489</v>
      </c>
      <c r="G85" s="122">
        <v>29.42</v>
      </c>
      <c r="H85" s="122">
        <v>5.33</v>
      </c>
      <c r="I85" s="122">
        <v>0</v>
      </c>
      <c r="J85" s="122">
        <v>268.36</v>
      </c>
      <c r="L85" s="374"/>
    </row>
    <row r="86" spans="1:12" x14ac:dyDescent="0.3">
      <c r="A86" s="120"/>
      <c r="B86" s="282" t="s">
        <v>159</v>
      </c>
      <c r="C86" s="120" t="s">
        <v>3223</v>
      </c>
      <c r="D86" s="120" t="s">
        <v>2879</v>
      </c>
      <c r="E86" s="122">
        <v>108.22300220164522</v>
      </c>
      <c r="F86" s="122">
        <v>35.270044558484791</v>
      </c>
      <c r="G86" s="122">
        <v>32.01</v>
      </c>
      <c r="H86" s="122">
        <v>3.24</v>
      </c>
      <c r="I86" s="122">
        <v>0</v>
      </c>
      <c r="J86" s="122">
        <v>178.74</v>
      </c>
      <c r="L86" s="374"/>
    </row>
    <row r="87" spans="1:12" x14ac:dyDescent="0.3">
      <c r="A87" s="120"/>
      <c r="B87" s="282" t="s">
        <v>100</v>
      </c>
      <c r="C87" s="120" t="s">
        <v>3224</v>
      </c>
      <c r="D87" s="120" t="s">
        <v>2880</v>
      </c>
      <c r="E87" s="122">
        <v>153.3966113050343</v>
      </c>
      <c r="F87" s="122">
        <v>37.198956434975095</v>
      </c>
      <c r="G87" s="122">
        <v>32.01</v>
      </c>
      <c r="H87" s="122">
        <v>3.24</v>
      </c>
      <c r="I87" s="122">
        <v>0</v>
      </c>
      <c r="J87" s="122">
        <v>225.85</v>
      </c>
      <c r="L87" s="374"/>
    </row>
    <row r="88" spans="1:12" x14ac:dyDescent="0.3">
      <c r="A88" s="120"/>
      <c r="B88" s="282" t="s">
        <v>152</v>
      </c>
      <c r="C88" s="120" t="s">
        <v>3225</v>
      </c>
      <c r="D88" s="120" t="s">
        <v>2881</v>
      </c>
      <c r="E88" s="122">
        <v>152.87018705794512</v>
      </c>
      <c r="F88" s="122">
        <v>39.475364772294036</v>
      </c>
      <c r="G88" s="122">
        <v>33.19</v>
      </c>
      <c r="H88" s="122">
        <v>6.18</v>
      </c>
      <c r="I88" s="122">
        <v>0</v>
      </c>
      <c r="J88" s="122">
        <v>231.72</v>
      </c>
      <c r="L88" s="374"/>
    </row>
    <row r="89" spans="1:12" x14ac:dyDescent="0.3">
      <c r="A89" s="120"/>
      <c r="B89" s="282" t="s">
        <v>51</v>
      </c>
      <c r="C89" s="120" t="s">
        <v>3226</v>
      </c>
      <c r="D89" s="120" t="s">
        <v>2882</v>
      </c>
      <c r="E89" s="122">
        <v>204.66734377022644</v>
      </c>
      <c r="F89" s="122">
        <v>44.199662063821059</v>
      </c>
      <c r="G89" s="122">
        <v>40.21</v>
      </c>
      <c r="H89" s="122">
        <v>6.18</v>
      </c>
      <c r="I89" s="122">
        <v>0</v>
      </c>
      <c r="J89" s="122">
        <v>295.26</v>
      </c>
      <c r="L89" s="374"/>
    </row>
    <row r="90" spans="1:12" x14ac:dyDescent="0.3">
      <c r="A90" s="120"/>
      <c r="B90" s="282" t="s">
        <v>211</v>
      </c>
      <c r="C90" s="120" t="s">
        <v>3227</v>
      </c>
      <c r="D90" s="120" t="s">
        <v>2883</v>
      </c>
      <c r="E90" s="122">
        <v>222.60023097141567</v>
      </c>
      <c r="F90" s="122">
        <v>45.538343066922735</v>
      </c>
      <c r="G90" s="122">
        <v>40.21</v>
      </c>
      <c r="H90" s="122">
        <v>6.18</v>
      </c>
      <c r="I90" s="122">
        <v>0</v>
      </c>
      <c r="J90" s="122">
        <v>314.52999999999997</v>
      </c>
      <c r="L90" s="374"/>
    </row>
    <row r="91" spans="1:12" x14ac:dyDescent="0.3">
      <c r="A91" s="120"/>
      <c r="B91" s="282" t="s">
        <v>331</v>
      </c>
      <c r="C91" s="120" t="s">
        <v>3228</v>
      </c>
      <c r="D91" s="120" t="s">
        <v>2884</v>
      </c>
      <c r="E91" s="122">
        <v>84.389353795312019</v>
      </c>
      <c r="F91" s="122">
        <v>30.788129389520982</v>
      </c>
      <c r="G91" s="122">
        <v>24.54</v>
      </c>
      <c r="H91" s="122">
        <v>3.19</v>
      </c>
      <c r="I91" s="122">
        <v>0</v>
      </c>
      <c r="J91" s="122">
        <v>142.91</v>
      </c>
      <c r="L91" s="374"/>
    </row>
    <row r="92" spans="1:12" x14ac:dyDescent="0.3">
      <c r="A92" s="120"/>
      <c r="B92" s="282" t="s">
        <v>118</v>
      </c>
      <c r="C92" s="120" t="s">
        <v>3229</v>
      </c>
      <c r="D92" s="120" t="s">
        <v>2885</v>
      </c>
      <c r="E92" s="122">
        <v>141.30117594880608</v>
      </c>
      <c r="F92" s="122">
        <v>38.487718803530392</v>
      </c>
      <c r="G92" s="122">
        <v>24.54</v>
      </c>
      <c r="H92" s="122">
        <v>3.19</v>
      </c>
      <c r="I92" s="122">
        <v>0</v>
      </c>
      <c r="J92" s="122">
        <v>207.52</v>
      </c>
      <c r="L92" s="374"/>
    </row>
    <row r="93" spans="1:12" x14ac:dyDescent="0.3">
      <c r="A93" s="120"/>
      <c r="B93" s="282" t="s">
        <v>357</v>
      </c>
      <c r="C93" s="120" t="s">
        <v>3230</v>
      </c>
      <c r="D93" s="120" t="s">
        <v>2886</v>
      </c>
      <c r="E93" s="122">
        <v>142.8568423885506</v>
      </c>
      <c r="F93" s="122">
        <v>39.410781488716147</v>
      </c>
      <c r="G93" s="122">
        <v>28.41</v>
      </c>
      <c r="H93" s="122">
        <v>7.95</v>
      </c>
      <c r="I93" s="122">
        <v>0</v>
      </c>
      <c r="J93" s="122">
        <v>218.63</v>
      </c>
      <c r="L93" s="374"/>
    </row>
    <row r="94" spans="1:12" x14ac:dyDescent="0.3">
      <c r="A94" s="120"/>
      <c r="B94" s="282" t="s">
        <v>358</v>
      </c>
      <c r="C94" s="120" t="s">
        <v>3231</v>
      </c>
      <c r="D94" s="120" t="s">
        <v>2887</v>
      </c>
      <c r="E94" s="122">
        <v>204.01826752138859</v>
      </c>
      <c r="F94" s="122">
        <v>47.596801887376138</v>
      </c>
      <c r="G94" s="122">
        <v>33.54</v>
      </c>
      <c r="H94" s="122">
        <v>7.95</v>
      </c>
      <c r="I94" s="122">
        <v>0</v>
      </c>
      <c r="J94" s="122">
        <v>293.11</v>
      </c>
      <c r="L94" s="374"/>
    </row>
    <row r="95" spans="1:12" x14ac:dyDescent="0.3">
      <c r="A95" s="120"/>
      <c r="B95" s="282" t="s">
        <v>238</v>
      </c>
      <c r="C95" s="120" t="s">
        <v>3232</v>
      </c>
      <c r="D95" s="120" t="s">
        <v>2888</v>
      </c>
      <c r="E95" s="122">
        <v>230.30716109996169</v>
      </c>
      <c r="F95" s="122">
        <v>51.340240085219932</v>
      </c>
      <c r="G95" s="122">
        <v>33.54</v>
      </c>
      <c r="H95" s="122">
        <v>7.95</v>
      </c>
      <c r="I95" s="122">
        <v>0</v>
      </c>
      <c r="J95" s="122">
        <v>323.14</v>
      </c>
      <c r="L95" s="374"/>
    </row>
    <row r="96" spans="1:12" x14ac:dyDescent="0.3">
      <c r="A96" s="120"/>
      <c r="B96" s="282" t="s">
        <v>140</v>
      </c>
      <c r="C96" s="120" t="s">
        <v>3233</v>
      </c>
      <c r="D96" s="120" t="s">
        <v>2889</v>
      </c>
      <c r="E96" s="122">
        <v>120.6255719682428</v>
      </c>
      <c r="F96" s="122">
        <v>41.645839023500066</v>
      </c>
      <c r="G96" s="122">
        <v>32.01</v>
      </c>
      <c r="H96" s="122">
        <v>4.6500000000000004</v>
      </c>
      <c r="I96" s="122">
        <v>0</v>
      </c>
      <c r="J96" s="122">
        <v>198.93</v>
      </c>
      <c r="L96" s="374"/>
    </row>
    <row r="97" spans="1:12" x14ac:dyDescent="0.3">
      <c r="B97" s="282" t="s">
        <v>316</v>
      </c>
      <c r="C97" s="120" t="s">
        <v>3234</v>
      </c>
      <c r="D97" s="120" t="s">
        <v>2890</v>
      </c>
      <c r="E97" s="122">
        <v>171.00361310374788</v>
      </c>
      <c r="F97" s="122">
        <v>47.331446371057972</v>
      </c>
      <c r="G97" s="122">
        <v>32.01</v>
      </c>
      <c r="H97" s="122">
        <v>4.6500000000000004</v>
      </c>
      <c r="I97" s="122">
        <v>0</v>
      </c>
      <c r="J97" s="122">
        <v>255</v>
      </c>
      <c r="L97" s="374"/>
    </row>
    <row r="98" spans="1:12" x14ac:dyDescent="0.3">
      <c r="B98" s="282" t="s">
        <v>84</v>
      </c>
      <c r="C98" s="120" t="s">
        <v>3235</v>
      </c>
      <c r="D98" s="120" t="s">
        <v>2891</v>
      </c>
      <c r="E98" s="122">
        <v>177.73669234626658</v>
      </c>
      <c r="F98" s="122">
        <v>50.814894780086952</v>
      </c>
      <c r="G98" s="122">
        <v>37.299999999999997</v>
      </c>
      <c r="H98" s="122">
        <v>8.81</v>
      </c>
      <c r="I98" s="122">
        <v>0</v>
      </c>
      <c r="J98" s="122">
        <v>274.66000000000003</v>
      </c>
      <c r="L98" s="374"/>
    </row>
    <row r="99" spans="1:12" x14ac:dyDescent="0.3">
      <c r="B99" s="282" t="s">
        <v>139</v>
      </c>
      <c r="C99" s="120" t="s">
        <v>3236</v>
      </c>
      <c r="D99" s="120" t="s">
        <v>2892</v>
      </c>
      <c r="E99" s="122">
        <v>231.00555268498968</v>
      </c>
      <c r="F99" s="122">
        <v>56.130193938610745</v>
      </c>
      <c r="G99" s="122">
        <v>44.32</v>
      </c>
      <c r="H99" s="122">
        <v>8.81</v>
      </c>
      <c r="I99" s="122">
        <v>0</v>
      </c>
      <c r="J99" s="122">
        <v>340.27</v>
      </c>
      <c r="L99" s="374"/>
    </row>
    <row r="100" spans="1:12" x14ac:dyDescent="0.3">
      <c r="B100" s="282" t="s">
        <v>347</v>
      </c>
      <c r="C100" s="120" t="s">
        <v>3237</v>
      </c>
      <c r="D100" s="120" t="s">
        <v>2893</v>
      </c>
      <c r="E100" s="122">
        <v>243.77574951303393</v>
      </c>
      <c r="F100" s="122">
        <v>54.675673928431301</v>
      </c>
      <c r="G100" s="122">
        <v>44.32</v>
      </c>
      <c r="H100" s="122">
        <v>8.81</v>
      </c>
      <c r="I100" s="122">
        <v>0</v>
      </c>
      <c r="J100" s="122">
        <v>351.58</v>
      </c>
      <c r="L100" s="374"/>
    </row>
    <row r="101" spans="1:12" x14ac:dyDescent="0.3">
      <c r="A101" s="121"/>
      <c r="D101" s="120" t="s">
        <v>1164</v>
      </c>
      <c r="E101" s="122"/>
      <c r="L101" s="374"/>
    </row>
    <row r="102" spans="1:12" x14ac:dyDescent="0.3">
      <c r="B102" s="282" t="s">
        <v>302</v>
      </c>
      <c r="C102" s="120" t="s">
        <v>3238</v>
      </c>
      <c r="D102" s="120" t="s">
        <v>2894</v>
      </c>
      <c r="E102" s="122">
        <v>107.84877209111278</v>
      </c>
      <c r="F102" s="122">
        <v>28.515887287036993</v>
      </c>
      <c r="G102" s="122">
        <v>24.54</v>
      </c>
      <c r="H102" s="122">
        <v>4.9000000000000004</v>
      </c>
      <c r="I102" s="122">
        <v>0</v>
      </c>
      <c r="J102" s="122">
        <v>165.8</v>
      </c>
      <c r="L102" s="374"/>
    </row>
    <row r="103" spans="1:12" x14ac:dyDescent="0.3">
      <c r="B103" s="282" t="s">
        <v>86</v>
      </c>
      <c r="C103" s="120" t="s">
        <v>3239</v>
      </c>
      <c r="D103" s="120" t="s">
        <v>2895</v>
      </c>
      <c r="E103" s="122">
        <v>224.71744275620438</v>
      </c>
      <c r="F103" s="122">
        <v>52.505205499964433</v>
      </c>
      <c r="G103" s="122">
        <v>24.54</v>
      </c>
      <c r="H103" s="122">
        <v>4.9000000000000004</v>
      </c>
      <c r="I103" s="122">
        <v>0</v>
      </c>
      <c r="J103" s="122">
        <v>306.66000000000003</v>
      </c>
      <c r="L103" s="374"/>
    </row>
    <row r="104" spans="1:12" x14ac:dyDescent="0.3">
      <c r="B104" s="282" t="s">
        <v>168</v>
      </c>
      <c r="C104" s="120" t="s">
        <v>3240</v>
      </c>
      <c r="D104" s="120" t="s">
        <v>2896</v>
      </c>
      <c r="E104" s="122">
        <v>255.79202450013602</v>
      </c>
      <c r="F104" s="122">
        <v>61.372319865245913</v>
      </c>
      <c r="G104" s="122">
        <v>23.03</v>
      </c>
      <c r="H104" s="122">
        <v>4.9000000000000004</v>
      </c>
      <c r="I104" s="122">
        <v>0</v>
      </c>
      <c r="J104" s="122">
        <v>345.09</v>
      </c>
      <c r="L104" s="374"/>
    </row>
    <row r="105" spans="1:12" x14ac:dyDescent="0.3">
      <c r="B105" s="282" t="s">
        <v>308</v>
      </c>
      <c r="C105" s="120" t="s">
        <v>3241</v>
      </c>
      <c r="D105" s="120" t="s">
        <v>2897</v>
      </c>
      <c r="E105" s="122">
        <v>127.1925</v>
      </c>
      <c r="F105" s="122">
        <v>42.397500000000001</v>
      </c>
      <c r="G105" s="122">
        <v>24.54</v>
      </c>
      <c r="H105" s="122">
        <v>4.9000000000000004</v>
      </c>
      <c r="I105" s="122">
        <v>0</v>
      </c>
      <c r="J105" s="122">
        <v>199.03</v>
      </c>
      <c r="L105" s="374"/>
    </row>
    <row r="106" spans="1:12" x14ac:dyDescent="0.3">
      <c r="B106" s="282" t="s">
        <v>55</v>
      </c>
      <c r="C106" s="120" t="s">
        <v>3242</v>
      </c>
      <c r="D106" s="120" t="s">
        <v>2898</v>
      </c>
      <c r="E106" s="122">
        <v>124.11645951871633</v>
      </c>
      <c r="F106" s="122">
        <v>42.352350866037526</v>
      </c>
      <c r="G106" s="122">
        <v>32.01</v>
      </c>
      <c r="H106" s="122">
        <v>6.15</v>
      </c>
      <c r="I106" s="122">
        <v>0</v>
      </c>
      <c r="J106" s="122">
        <v>204.63</v>
      </c>
      <c r="L106" s="374"/>
    </row>
    <row r="107" spans="1:12" x14ac:dyDescent="0.3">
      <c r="B107" s="282" t="s">
        <v>171</v>
      </c>
      <c r="C107" s="120" t="s">
        <v>3243</v>
      </c>
      <c r="D107" s="120" t="s">
        <v>2899</v>
      </c>
      <c r="E107" s="122">
        <v>252.21544734154625</v>
      </c>
      <c r="F107" s="122">
        <v>66.05891995611195</v>
      </c>
      <c r="G107" s="122">
        <v>32.01</v>
      </c>
      <c r="H107" s="122">
        <v>6.15</v>
      </c>
      <c r="I107" s="122">
        <v>0</v>
      </c>
      <c r="J107" s="122">
        <v>356.43</v>
      </c>
      <c r="L107" s="374"/>
    </row>
    <row r="108" spans="1:12" x14ac:dyDescent="0.3">
      <c r="B108" s="282" t="s">
        <v>56</v>
      </c>
      <c r="C108" s="120" t="s">
        <v>3244</v>
      </c>
      <c r="D108" s="120" t="s">
        <v>2900</v>
      </c>
      <c r="E108" s="122">
        <v>270.57125498672286</v>
      </c>
      <c r="F108" s="122">
        <v>79.456086638212383</v>
      </c>
      <c r="G108" s="122">
        <v>31.93</v>
      </c>
      <c r="H108" s="122">
        <v>6.15</v>
      </c>
      <c r="I108" s="122">
        <v>0</v>
      </c>
      <c r="J108" s="122">
        <v>388.11</v>
      </c>
      <c r="L108" s="374"/>
    </row>
    <row r="109" spans="1:12" x14ac:dyDescent="0.3">
      <c r="B109" s="282" t="s">
        <v>330</v>
      </c>
      <c r="C109" s="120" t="s">
        <v>3245</v>
      </c>
      <c r="D109" s="120" t="s">
        <v>2901</v>
      </c>
      <c r="E109" s="122">
        <v>167.45250000000001</v>
      </c>
      <c r="F109" s="122">
        <v>55.817500000000003</v>
      </c>
      <c r="G109" s="122">
        <v>32.01</v>
      </c>
      <c r="H109" s="122">
        <v>6.15</v>
      </c>
      <c r="I109" s="122">
        <v>0</v>
      </c>
      <c r="J109" s="122">
        <v>261.43</v>
      </c>
      <c r="L109" s="374"/>
    </row>
    <row r="110" spans="1:12" x14ac:dyDescent="0.3">
      <c r="B110" s="282" t="s">
        <v>369</v>
      </c>
      <c r="C110" s="120" t="s">
        <v>3246</v>
      </c>
      <c r="D110" s="120" t="s">
        <v>2902</v>
      </c>
      <c r="E110" s="122">
        <v>110.63359113906508</v>
      </c>
      <c r="F110" s="122">
        <v>17.970118150035209</v>
      </c>
      <c r="G110" s="122">
        <v>24.54</v>
      </c>
      <c r="H110" s="122">
        <v>7.5</v>
      </c>
      <c r="I110" s="122">
        <v>0</v>
      </c>
      <c r="J110" s="122">
        <v>160.63999999999999</v>
      </c>
      <c r="L110" s="374"/>
    </row>
    <row r="111" spans="1:12" x14ac:dyDescent="0.3">
      <c r="B111" s="282" t="s">
        <v>296</v>
      </c>
      <c r="C111" s="120" t="s">
        <v>3247</v>
      </c>
      <c r="D111" s="120" t="s">
        <v>2903</v>
      </c>
      <c r="E111" s="122">
        <v>253.79406689141643</v>
      </c>
      <c r="F111" s="122">
        <v>27.538562884636153</v>
      </c>
      <c r="G111" s="122">
        <v>24.54</v>
      </c>
      <c r="H111" s="122">
        <v>7.5</v>
      </c>
      <c r="I111" s="122">
        <v>0</v>
      </c>
      <c r="J111" s="122">
        <v>313.37</v>
      </c>
      <c r="L111" s="374"/>
    </row>
    <row r="112" spans="1:12" x14ac:dyDescent="0.3">
      <c r="B112" s="282" t="s">
        <v>311</v>
      </c>
      <c r="C112" s="120" t="s">
        <v>3248</v>
      </c>
      <c r="D112" s="120" t="s">
        <v>2904</v>
      </c>
      <c r="E112" s="122">
        <v>289.28308097811168</v>
      </c>
      <c r="F112" s="122">
        <v>33.941879012612951</v>
      </c>
      <c r="G112" s="122">
        <v>27.14</v>
      </c>
      <c r="H112" s="122">
        <v>7.5</v>
      </c>
      <c r="I112" s="122">
        <v>0</v>
      </c>
      <c r="J112" s="122">
        <v>357.86</v>
      </c>
      <c r="L112" s="374"/>
    </row>
    <row r="113" spans="1:12" x14ac:dyDescent="0.3">
      <c r="A113" s="120"/>
      <c r="B113" s="282" t="s">
        <v>348</v>
      </c>
      <c r="C113" s="120" t="s">
        <v>3249</v>
      </c>
      <c r="D113" s="120" t="s">
        <v>2905</v>
      </c>
      <c r="E113" s="122">
        <v>151.035</v>
      </c>
      <c r="F113" s="122">
        <v>50.344999999999999</v>
      </c>
      <c r="G113" s="122">
        <v>24.54</v>
      </c>
      <c r="H113" s="122">
        <v>7.5</v>
      </c>
      <c r="I113" s="122">
        <v>0</v>
      </c>
      <c r="J113" s="122">
        <v>233.42</v>
      </c>
      <c r="L113" s="374"/>
    </row>
    <row r="114" spans="1:12" x14ac:dyDescent="0.3">
      <c r="A114" s="120"/>
      <c r="B114" s="282" t="s">
        <v>359</v>
      </c>
      <c r="C114" s="120" t="s">
        <v>3250</v>
      </c>
      <c r="D114" s="120" t="s">
        <v>2906</v>
      </c>
      <c r="E114" s="122">
        <v>152.12180285369499</v>
      </c>
      <c r="F114" s="122">
        <v>21.545717729213948</v>
      </c>
      <c r="G114" s="122">
        <v>32.01</v>
      </c>
      <c r="H114" s="122">
        <v>8.76</v>
      </c>
      <c r="I114" s="122">
        <v>0</v>
      </c>
      <c r="J114" s="122">
        <v>214.44</v>
      </c>
      <c r="L114" s="374"/>
    </row>
    <row r="115" spans="1:12" x14ac:dyDescent="0.3">
      <c r="A115" s="120"/>
      <c r="B115" s="282" t="s">
        <v>52</v>
      </c>
      <c r="C115" s="120" t="s">
        <v>3251</v>
      </c>
      <c r="D115" s="120" t="s">
        <v>2907</v>
      </c>
      <c r="E115" s="122">
        <v>301.02714564950293</v>
      </c>
      <c r="F115" s="122">
        <v>49.082976572395744</v>
      </c>
      <c r="G115" s="122">
        <v>32.01</v>
      </c>
      <c r="H115" s="122">
        <v>8.76</v>
      </c>
      <c r="I115" s="122">
        <v>0</v>
      </c>
      <c r="J115" s="122">
        <v>390.88</v>
      </c>
      <c r="L115" s="374"/>
    </row>
    <row r="116" spans="1:12" x14ac:dyDescent="0.3">
      <c r="A116" s="120"/>
      <c r="B116" s="282" t="s">
        <v>303</v>
      </c>
      <c r="C116" s="120" t="s">
        <v>3252</v>
      </c>
      <c r="D116" s="120" t="s">
        <v>2908</v>
      </c>
      <c r="E116" s="122">
        <v>357.52318933874153</v>
      </c>
      <c r="F116" s="122">
        <v>55.620440625879567</v>
      </c>
      <c r="G116" s="122">
        <v>36.04</v>
      </c>
      <c r="H116" s="122">
        <v>8.76</v>
      </c>
      <c r="I116" s="122">
        <v>0</v>
      </c>
      <c r="J116" s="122">
        <v>457.94</v>
      </c>
      <c r="L116" s="374"/>
    </row>
    <row r="117" spans="1:12" x14ac:dyDescent="0.3">
      <c r="A117" s="120"/>
      <c r="B117" s="282" t="s">
        <v>71</v>
      </c>
      <c r="C117" s="120" t="s">
        <v>3253</v>
      </c>
      <c r="D117" s="120" t="s">
        <v>2909</v>
      </c>
      <c r="E117" s="122">
        <v>191.29500000000002</v>
      </c>
      <c r="F117" s="122">
        <v>63.765000000000001</v>
      </c>
      <c r="G117" s="122">
        <v>32.01</v>
      </c>
      <c r="H117" s="122">
        <v>8.76</v>
      </c>
      <c r="I117" s="122">
        <v>0</v>
      </c>
      <c r="J117" s="122">
        <v>295.83</v>
      </c>
      <c r="L117" s="374"/>
    </row>
    <row r="118" spans="1:12" x14ac:dyDescent="0.3">
      <c r="A118" s="120"/>
      <c r="D118" s="120" t="s">
        <v>1164</v>
      </c>
      <c r="E118" s="122"/>
      <c r="L118" s="374"/>
    </row>
    <row r="119" spans="1:12" x14ac:dyDescent="0.3">
      <c r="A119" s="120"/>
      <c r="B119" s="282" t="s">
        <v>117</v>
      </c>
      <c r="C119" s="120" t="s">
        <v>3254</v>
      </c>
      <c r="D119" s="120" t="s">
        <v>2910</v>
      </c>
      <c r="E119" s="122">
        <v>57.81</v>
      </c>
      <c r="F119" s="122">
        <v>19.27</v>
      </c>
      <c r="G119" s="122">
        <v>24.54</v>
      </c>
      <c r="H119" s="122">
        <v>4.9000000000000004</v>
      </c>
      <c r="I119" s="122">
        <v>0</v>
      </c>
      <c r="J119" s="122">
        <v>106.52</v>
      </c>
      <c r="L119" s="374"/>
    </row>
    <row r="120" spans="1:12" x14ac:dyDescent="0.3">
      <c r="A120" s="120"/>
      <c r="B120" s="282" t="s">
        <v>96</v>
      </c>
      <c r="C120" s="120" t="s">
        <v>3255</v>
      </c>
      <c r="D120" s="120" t="s">
        <v>2911</v>
      </c>
      <c r="E120" s="122">
        <v>86.182500000000005</v>
      </c>
      <c r="F120" s="122">
        <v>28.727499999999999</v>
      </c>
      <c r="G120" s="122">
        <v>24.54</v>
      </c>
      <c r="H120" s="122">
        <v>4.9000000000000004</v>
      </c>
      <c r="I120" s="122">
        <v>0</v>
      </c>
      <c r="J120" s="122">
        <v>144.35</v>
      </c>
      <c r="L120" s="374"/>
    </row>
    <row r="121" spans="1:12" x14ac:dyDescent="0.3">
      <c r="A121" s="120"/>
      <c r="B121" s="282" t="s">
        <v>293</v>
      </c>
      <c r="C121" s="120" t="s">
        <v>3256</v>
      </c>
      <c r="D121" s="120" t="s">
        <v>2912</v>
      </c>
      <c r="E121" s="122">
        <v>91.372500000000002</v>
      </c>
      <c r="F121" s="122">
        <v>30.4575</v>
      </c>
      <c r="G121" s="122">
        <v>32.01</v>
      </c>
      <c r="H121" s="122">
        <v>6.15</v>
      </c>
      <c r="I121" s="122">
        <v>0</v>
      </c>
      <c r="J121" s="122">
        <v>159.99</v>
      </c>
      <c r="L121" s="374"/>
    </row>
    <row r="122" spans="1:12" x14ac:dyDescent="0.3">
      <c r="A122" s="120"/>
      <c r="B122" s="282" t="s">
        <v>87</v>
      </c>
      <c r="C122" s="120" t="s">
        <v>3257</v>
      </c>
      <c r="D122" s="120" t="s">
        <v>2913</v>
      </c>
      <c r="E122" s="122">
        <v>114.14999999999999</v>
      </c>
      <c r="F122" s="122">
        <v>38.049999999999997</v>
      </c>
      <c r="G122" s="122">
        <v>32.01</v>
      </c>
      <c r="H122" s="122">
        <v>6.15</v>
      </c>
      <c r="I122" s="122">
        <v>0</v>
      </c>
      <c r="J122" s="122">
        <v>190.36</v>
      </c>
      <c r="L122" s="374"/>
    </row>
    <row r="123" spans="1:12" x14ac:dyDescent="0.3">
      <c r="A123" s="120"/>
      <c r="B123" s="282" t="s">
        <v>361</v>
      </c>
      <c r="C123" s="120" t="s">
        <v>3258</v>
      </c>
      <c r="D123" s="120" t="s">
        <v>2914</v>
      </c>
      <c r="E123" s="122">
        <v>105.61499999999999</v>
      </c>
      <c r="F123" s="122">
        <v>35.204999999999998</v>
      </c>
      <c r="G123" s="122">
        <v>24.54</v>
      </c>
      <c r="H123" s="122">
        <v>4.9000000000000004</v>
      </c>
      <c r="I123" s="122">
        <v>0</v>
      </c>
      <c r="J123" s="122">
        <v>170.26</v>
      </c>
      <c r="L123" s="374"/>
    </row>
    <row r="124" spans="1:12" x14ac:dyDescent="0.3">
      <c r="A124" s="120"/>
      <c r="B124" s="282" t="s">
        <v>232</v>
      </c>
      <c r="C124" s="120" t="s">
        <v>3259</v>
      </c>
      <c r="D124" s="120" t="s">
        <v>2915</v>
      </c>
      <c r="E124" s="122">
        <v>134.23499999999999</v>
      </c>
      <c r="F124" s="122">
        <v>44.744999999999997</v>
      </c>
      <c r="G124" s="122">
        <v>24.98</v>
      </c>
      <c r="H124" s="122">
        <v>4.9000000000000004</v>
      </c>
      <c r="I124" s="122">
        <v>0</v>
      </c>
      <c r="J124" s="122">
        <v>208.86</v>
      </c>
      <c r="L124" s="374"/>
    </row>
    <row r="125" spans="1:12" x14ac:dyDescent="0.3">
      <c r="A125" s="120"/>
      <c r="B125" s="282" t="s">
        <v>215</v>
      </c>
      <c r="C125" s="120" t="s">
        <v>3260</v>
      </c>
      <c r="D125" s="120" t="s">
        <v>2916</v>
      </c>
      <c r="E125" s="122">
        <v>147.6825</v>
      </c>
      <c r="F125" s="122">
        <v>49.227499999999999</v>
      </c>
      <c r="G125" s="122">
        <v>30.18</v>
      </c>
      <c r="H125" s="122">
        <v>4.9000000000000004</v>
      </c>
      <c r="I125" s="122">
        <v>0</v>
      </c>
      <c r="J125" s="122">
        <v>231.99</v>
      </c>
      <c r="L125" s="374"/>
    </row>
    <row r="126" spans="1:12" x14ac:dyDescent="0.3">
      <c r="A126" s="120"/>
      <c r="B126" s="282" t="s">
        <v>172</v>
      </c>
      <c r="C126" s="120" t="s">
        <v>3261</v>
      </c>
      <c r="D126" s="120" t="s">
        <v>2917</v>
      </c>
      <c r="E126" s="122">
        <v>133.5975</v>
      </c>
      <c r="F126" s="122">
        <v>44.532499999999999</v>
      </c>
      <c r="G126" s="122">
        <v>32.01</v>
      </c>
      <c r="H126" s="122">
        <v>6.15</v>
      </c>
      <c r="I126" s="122">
        <v>0</v>
      </c>
      <c r="J126" s="122">
        <v>216.29</v>
      </c>
      <c r="L126" s="374"/>
    </row>
    <row r="127" spans="1:12" x14ac:dyDescent="0.3">
      <c r="A127" s="120"/>
      <c r="B127" s="282" t="s">
        <v>218</v>
      </c>
      <c r="C127" s="120" t="s">
        <v>3262</v>
      </c>
      <c r="D127" s="120" t="s">
        <v>2918</v>
      </c>
      <c r="E127" s="122">
        <v>172.005</v>
      </c>
      <c r="F127" s="122">
        <v>57.335000000000001</v>
      </c>
      <c r="G127" s="122">
        <v>33.869999999999997</v>
      </c>
      <c r="H127" s="122">
        <v>6.15</v>
      </c>
      <c r="I127" s="122">
        <v>0</v>
      </c>
      <c r="J127" s="122">
        <v>269.36</v>
      </c>
      <c r="L127" s="374"/>
    </row>
    <row r="128" spans="1:12" x14ac:dyDescent="0.3">
      <c r="A128" s="120"/>
      <c r="B128" s="282" t="s">
        <v>189</v>
      </c>
      <c r="C128" s="120" t="s">
        <v>3263</v>
      </c>
      <c r="D128" s="120" t="s">
        <v>2919</v>
      </c>
      <c r="E128" s="122">
        <v>185.43</v>
      </c>
      <c r="F128" s="122">
        <v>61.81</v>
      </c>
      <c r="G128" s="122">
        <v>40.97</v>
      </c>
      <c r="H128" s="122">
        <v>6.15</v>
      </c>
      <c r="I128" s="122">
        <v>0</v>
      </c>
      <c r="J128" s="122">
        <v>294.36</v>
      </c>
      <c r="L128" s="374"/>
    </row>
    <row r="129" spans="1:12" x14ac:dyDescent="0.3">
      <c r="A129" s="120"/>
      <c r="B129" s="282" t="s">
        <v>379</v>
      </c>
      <c r="C129" s="120" t="s">
        <v>3264</v>
      </c>
      <c r="D129" s="120" t="s">
        <v>2920</v>
      </c>
      <c r="E129" s="122">
        <v>122.1225</v>
      </c>
      <c r="F129" s="122">
        <v>40.707500000000003</v>
      </c>
      <c r="G129" s="122">
        <v>24.54</v>
      </c>
      <c r="H129" s="122">
        <v>7.5</v>
      </c>
      <c r="I129" s="122">
        <v>0</v>
      </c>
      <c r="J129" s="122">
        <v>194.87</v>
      </c>
      <c r="L129" s="374"/>
    </row>
    <row r="130" spans="1:12" x14ac:dyDescent="0.3">
      <c r="A130" s="120"/>
      <c r="B130" s="282" t="s">
        <v>261</v>
      </c>
      <c r="C130" s="120" t="s">
        <v>3265</v>
      </c>
      <c r="D130" s="120" t="s">
        <v>2921</v>
      </c>
      <c r="E130" s="122">
        <v>153.78750000000002</v>
      </c>
      <c r="F130" s="122">
        <v>51.262500000000003</v>
      </c>
      <c r="G130" s="122">
        <v>29.09</v>
      </c>
      <c r="H130" s="122">
        <v>7.5</v>
      </c>
      <c r="I130" s="122">
        <v>0</v>
      </c>
      <c r="J130" s="122">
        <v>241.64</v>
      </c>
      <c r="L130" s="374"/>
    </row>
    <row r="131" spans="1:12" x14ac:dyDescent="0.3">
      <c r="A131" s="120"/>
      <c r="B131" s="282" t="s">
        <v>85</v>
      </c>
      <c r="C131" s="120" t="s">
        <v>3266</v>
      </c>
      <c r="D131" s="120" t="s">
        <v>2922</v>
      </c>
      <c r="E131" s="122">
        <v>170.64000000000001</v>
      </c>
      <c r="F131" s="122">
        <v>56.88</v>
      </c>
      <c r="G131" s="122">
        <v>34.299999999999997</v>
      </c>
      <c r="H131" s="122">
        <v>7.5</v>
      </c>
      <c r="I131" s="122">
        <v>0</v>
      </c>
      <c r="J131" s="122">
        <v>269.32</v>
      </c>
      <c r="L131" s="374"/>
    </row>
    <row r="132" spans="1:12" x14ac:dyDescent="0.3">
      <c r="A132" s="120"/>
      <c r="B132" s="282" t="s">
        <v>77</v>
      </c>
      <c r="C132" s="120" t="s">
        <v>3267</v>
      </c>
      <c r="D132" s="120" t="s">
        <v>2923</v>
      </c>
      <c r="E132" s="122">
        <v>150.0975</v>
      </c>
      <c r="F132" s="122">
        <v>50.032499999999999</v>
      </c>
      <c r="G132" s="122">
        <v>32.01</v>
      </c>
      <c r="H132" s="122">
        <v>8.76</v>
      </c>
      <c r="I132" s="122">
        <v>0</v>
      </c>
      <c r="J132" s="122">
        <v>240.9</v>
      </c>
      <c r="L132" s="374"/>
    </row>
    <row r="133" spans="1:12" x14ac:dyDescent="0.3">
      <c r="A133" s="120"/>
      <c r="B133" s="282" t="s">
        <v>208</v>
      </c>
      <c r="C133" s="120" t="s">
        <v>3268</v>
      </c>
      <c r="D133" s="120" t="s">
        <v>2924</v>
      </c>
      <c r="E133" s="122">
        <v>191.535</v>
      </c>
      <c r="F133" s="122">
        <v>63.844999999999999</v>
      </c>
      <c r="G133" s="122">
        <v>37.979999999999997</v>
      </c>
      <c r="H133" s="122">
        <v>8.76</v>
      </c>
      <c r="I133" s="122">
        <v>0</v>
      </c>
      <c r="J133" s="122">
        <v>302.12</v>
      </c>
      <c r="L133" s="374"/>
    </row>
    <row r="134" spans="1:12" x14ac:dyDescent="0.3">
      <c r="A134" s="120"/>
      <c r="B134" s="282" t="s">
        <v>239</v>
      </c>
      <c r="C134" s="120" t="s">
        <v>3269</v>
      </c>
      <c r="D134" s="120" t="s">
        <v>2925</v>
      </c>
      <c r="E134" s="122">
        <v>208.3725</v>
      </c>
      <c r="F134" s="122">
        <v>69.457499999999996</v>
      </c>
      <c r="G134" s="122">
        <v>45.08</v>
      </c>
      <c r="H134" s="122">
        <v>8.76</v>
      </c>
      <c r="I134" s="122">
        <v>0</v>
      </c>
      <c r="J134" s="122">
        <v>331.67</v>
      </c>
      <c r="L134" s="374"/>
    </row>
    <row r="135" spans="1:12" x14ac:dyDescent="0.3">
      <c r="A135" s="120"/>
      <c r="D135" s="120" t="s">
        <v>1164</v>
      </c>
      <c r="E135" s="122"/>
      <c r="L135" s="374"/>
    </row>
    <row r="136" spans="1:12" x14ac:dyDescent="0.3">
      <c r="A136" s="120"/>
      <c r="B136" s="282" t="s">
        <v>214</v>
      </c>
      <c r="C136" s="120" t="s">
        <v>3270</v>
      </c>
      <c r="D136" s="120" t="s">
        <v>3622</v>
      </c>
      <c r="E136" s="122">
        <v>4.161314207174212</v>
      </c>
      <c r="F136" s="122">
        <v>18.604478164163723</v>
      </c>
      <c r="G136" s="122">
        <v>26.33</v>
      </c>
      <c r="H136" s="122">
        <v>1.92</v>
      </c>
      <c r="I136" s="122">
        <v>0</v>
      </c>
      <c r="J136" s="122">
        <v>51.02</v>
      </c>
      <c r="L136" s="374"/>
    </row>
    <row r="137" spans="1:12" x14ac:dyDescent="0.3">
      <c r="A137" s="120"/>
      <c r="B137" s="282" t="s">
        <v>1292</v>
      </c>
      <c r="C137" s="120" t="s">
        <v>3271</v>
      </c>
      <c r="D137" s="120" t="s">
        <v>3623</v>
      </c>
      <c r="E137" s="122">
        <v>3.6796935052537667</v>
      </c>
      <c r="F137" s="122">
        <v>12.924128315958708</v>
      </c>
      <c r="G137" s="122">
        <v>42.21</v>
      </c>
      <c r="H137" s="122">
        <v>5.24</v>
      </c>
      <c r="I137" s="122">
        <v>0</v>
      </c>
      <c r="J137" s="122">
        <v>64.05</v>
      </c>
      <c r="L137" s="374"/>
    </row>
    <row r="138" spans="1:12" x14ac:dyDescent="0.3">
      <c r="A138" s="120"/>
      <c r="B138" s="282" t="s">
        <v>1293</v>
      </c>
      <c r="C138" s="120" t="s">
        <v>3272</v>
      </c>
      <c r="D138" s="120" t="s">
        <v>3624</v>
      </c>
      <c r="E138" s="122">
        <v>23.594999999999999</v>
      </c>
      <c r="F138" s="122">
        <v>7.8650000000000002</v>
      </c>
      <c r="G138" s="122">
        <v>43.54</v>
      </c>
      <c r="H138" s="122">
        <v>7.57</v>
      </c>
      <c r="I138" s="122">
        <v>0</v>
      </c>
      <c r="J138" s="122">
        <v>82.57</v>
      </c>
      <c r="L138" s="374"/>
    </row>
    <row r="139" spans="1:12" x14ac:dyDescent="0.3">
      <c r="A139" s="120"/>
      <c r="B139" s="282" t="s">
        <v>2509</v>
      </c>
      <c r="C139" s="120" t="s">
        <v>3273</v>
      </c>
      <c r="D139" s="120" t="s">
        <v>3625</v>
      </c>
      <c r="E139" s="122">
        <v>44.404109289343687</v>
      </c>
      <c r="F139" s="122">
        <v>24.473136386021228</v>
      </c>
      <c r="G139" s="122">
        <v>26.33</v>
      </c>
      <c r="H139" s="122">
        <v>1.92</v>
      </c>
      <c r="I139" s="122">
        <v>0</v>
      </c>
      <c r="J139" s="122">
        <v>97.13</v>
      </c>
      <c r="L139" s="374"/>
    </row>
    <row r="140" spans="1:12" x14ac:dyDescent="0.3">
      <c r="A140" s="120"/>
      <c r="B140" s="282" t="s">
        <v>2514</v>
      </c>
      <c r="C140" s="120" t="s">
        <v>3274</v>
      </c>
      <c r="D140" s="120" t="s">
        <v>3626</v>
      </c>
      <c r="E140" s="122">
        <v>43.90334339237419</v>
      </c>
      <c r="F140" s="122">
        <v>25.446396300384368</v>
      </c>
      <c r="G140" s="122">
        <v>26.33</v>
      </c>
      <c r="H140" s="122">
        <v>1.92</v>
      </c>
      <c r="I140" s="122">
        <v>0</v>
      </c>
      <c r="J140" s="122">
        <v>97.6</v>
      </c>
      <c r="L140" s="374"/>
    </row>
    <row r="141" spans="1:12" x14ac:dyDescent="0.3">
      <c r="A141" s="120"/>
      <c r="B141" s="282" t="s">
        <v>2207</v>
      </c>
      <c r="C141" s="120" t="s">
        <v>3275</v>
      </c>
      <c r="D141" s="120" t="s">
        <v>3627</v>
      </c>
      <c r="E141" s="122">
        <v>160.05425027366238</v>
      </c>
      <c r="F141" s="122">
        <v>45.505987032304745</v>
      </c>
      <c r="G141" s="122">
        <v>32.75</v>
      </c>
      <c r="H141" s="122">
        <v>4</v>
      </c>
      <c r="I141" s="122">
        <v>0</v>
      </c>
      <c r="J141" s="122">
        <v>242.31</v>
      </c>
      <c r="L141" s="374"/>
    </row>
    <row r="142" spans="1:12" x14ac:dyDescent="0.3">
      <c r="A142" s="120"/>
      <c r="B142" s="282" t="s">
        <v>2314</v>
      </c>
      <c r="C142" s="120" t="s">
        <v>3276</v>
      </c>
      <c r="D142" s="120" t="s">
        <v>3628</v>
      </c>
      <c r="E142" s="122">
        <v>146.07</v>
      </c>
      <c r="F142" s="122">
        <v>48.69</v>
      </c>
      <c r="G142" s="122">
        <v>31.3</v>
      </c>
      <c r="H142" s="122">
        <v>4.0199999999999996</v>
      </c>
      <c r="I142" s="122">
        <v>0</v>
      </c>
      <c r="J142" s="122">
        <v>230.08</v>
      </c>
      <c r="L142" s="374"/>
    </row>
    <row r="143" spans="1:12" x14ac:dyDescent="0.3">
      <c r="A143" s="120"/>
      <c r="B143" s="282" t="s">
        <v>2318</v>
      </c>
      <c r="C143" s="120" t="s">
        <v>3277</v>
      </c>
      <c r="D143" s="120" t="s">
        <v>3629</v>
      </c>
      <c r="E143" s="122">
        <v>164.4375</v>
      </c>
      <c r="F143" s="122">
        <v>54.8125</v>
      </c>
      <c r="G143" s="122">
        <v>35.42</v>
      </c>
      <c r="H143" s="122">
        <v>6.54</v>
      </c>
      <c r="I143" s="122">
        <v>0</v>
      </c>
      <c r="J143" s="122">
        <v>261.20999999999998</v>
      </c>
      <c r="L143" s="374"/>
    </row>
    <row r="144" spans="1:12" x14ac:dyDescent="0.3">
      <c r="A144" s="120"/>
      <c r="B144" s="282" t="s">
        <v>2332</v>
      </c>
      <c r="C144" s="120" t="s">
        <v>3278</v>
      </c>
      <c r="D144" s="120" t="s">
        <v>3630</v>
      </c>
      <c r="E144" s="122">
        <v>296.04431621690628</v>
      </c>
      <c r="F144" s="122">
        <v>63.120390551587107</v>
      </c>
      <c r="G144" s="122">
        <v>41.64</v>
      </c>
      <c r="H144" s="122">
        <v>6.54</v>
      </c>
      <c r="I144" s="122">
        <v>0</v>
      </c>
      <c r="J144" s="122">
        <v>407.34</v>
      </c>
      <c r="L144" s="374"/>
    </row>
    <row r="145" spans="1:12" x14ac:dyDescent="0.3">
      <c r="A145" s="120"/>
      <c r="B145" s="282" t="s">
        <v>2254</v>
      </c>
      <c r="C145" s="120" t="s">
        <v>2255</v>
      </c>
      <c r="D145" s="120" t="s">
        <v>3631</v>
      </c>
      <c r="E145" s="122">
        <v>440.76750000000004</v>
      </c>
      <c r="F145" s="122">
        <v>146.92250000000001</v>
      </c>
      <c r="G145" s="122">
        <v>58.86</v>
      </c>
      <c r="H145" s="122">
        <v>8.6300000000000008</v>
      </c>
      <c r="I145" s="122">
        <v>0</v>
      </c>
      <c r="J145" s="122">
        <v>655.17999999999995</v>
      </c>
      <c r="L145" s="374"/>
    </row>
    <row r="146" spans="1:12" x14ac:dyDescent="0.3">
      <c r="A146" s="120"/>
      <c r="B146" s="282" t="s">
        <v>2549</v>
      </c>
      <c r="C146" s="120" t="s">
        <v>3279</v>
      </c>
      <c r="D146" s="120" t="s">
        <v>3632</v>
      </c>
      <c r="E146" s="122">
        <v>178.71</v>
      </c>
      <c r="F146" s="122">
        <v>59.57</v>
      </c>
      <c r="G146" s="122">
        <v>42.21</v>
      </c>
      <c r="H146" s="122">
        <v>5.24</v>
      </c>
      <c r="I146" s="122">
        <v>0</v>
      </c>
      <c r="J146" s="122">
        <v>285.73</v>
      </c>
      <c r="L146" s="374"/>
    </row>
    <row r="147" spans="1:12" x14ac:dyDescent="0.3">
      <c r="A147" s="120"/>
      <c r="B147" s="282" t="s">
        <v>2553</v>
      </c>
      <c r="C147" s="120" t="s">
        <v>3280</v>
      </c>
      <c r="D147" s="120" t="s">
        <v>3633</v>
      </c>
      <c r="E147" s="122">
        <v>204.5025</v>
      </c>
      <c r="F147" s="122">
        <v>68.167500000000004</v>
      </c>
      <c r="G147" s="122">
        <v>42.21</v>
      </c>
      <c r="H147" s="122">
        <v>5.24</v>
      </c>
      <c r="I147" s="122">
        <v>0</v>
      </c>
      <c r="J147" s="122">
        <v>320.12</v>
      </c>
      <c r="L147" s="374"/>
    </row>
    <row r="148" spans="1:12" x14ac:dyDescent="0.3">
      <c r="A148" s="120"/>
      <c r="B148" s="282" t="s">
        <v>2557</v>
      </c>
      <c r="C148" s="120" t="s">
        <v>3281</v>
      </c>
      <c r="D148" s="120" t="s">
        <v>3634</v>
      </c>
      <c r="E148" s="122">
        <v>198.08250000000001</v>
      </c>
      <c r="F148" s="122">
        <v>66.027500000000003</v>
      </c>
      <c r="G148" s="122">
        <v>42.21</v>
      </c>
      <c r="H148" s="122">
        <v>5.24</v>
      </c>
      <c r="I148" s="122">
        <v>0</v>
      </c>
      <c r="J148" s="122">
        <v>311.56</v>
      </c>
      <c r="L148" s="374"/>
    </row>
    <row r="149" spans="1:12" x14ac:dyDescent="0.3">
      <c r="A149" s="120"/>
      <c r="B149" s="282" t="s">
        <v>2561</v>
      </c>
      <c r="C149" s="120" t="s">
        <v>3282</v>
      </c>
      <c r="D149" s="120" t="s">
        <v>3635</v>
      </c>
      <c r="E149" s="122">
        <v>288.03750000000002</v>
      </c>
      <c r="F149" s="122">
        <v>96.012500000000003</v>
      </c>
      <c r="G149" s="122">
        <v>43.54</v>
      </c>
      <c r="H149" s="122">
        <v>7.57</v>
      </c>
      <c r="I149" s="122">
        <v>0</v>
      </c>
      <c r="J149" s="122">
        <v>435.16</v>
      </c>
      <c r="L149" s="374"/>
    </row>
    <row r="150" spans="1:12" x14ac:dyDescent="0.3">
      <c r="A150" s="120"/>
      <c r="B150" s="282" t="s">
        <v>2565</v>
      </c>
      <c r="C150" s="120" t="s">
        <v>3283</v>
      </c>
      <c r="D150" s="120" t="s">
        <v>3636</v>
      </c>
      <c r="E150" s="122">
        <v>161.5275</v>
      </c>
      <c r="F150" s="122">
        <v>53.842500000000001</v>
      </c>
      <c r="G150" s="122">
        <v>39.42</v>
      </c>
      <c r="H150" s="122">
        <v>3.12</v>
      </c>
      <c r="I150" s="122">
        <v>0</v>
      </c>
      <c r="J150" s="122">
        <v>257.91000000000003</v>
      </c>
      <c r="L150" s="374"/>
    </row>
    <row r="151" spans="1:12" x14ac:dyDescent="0.3">
      <c r="A151" s="120"/>
      <c r="D151" s="120" t="s">
        <v>1164</v>
      </c>
      <c r="E151" s="122"/>
      <c r="L151" s="374"/>
    </row>
    <row r="152" spans="1:12" x14ac:dyDescent="0.3">
      <c r="A152" s="120"/>
      <c r="B152" s="282" t="s">
        <v>9</v>
      </c>
      <c r="C152" s="120" t="s">
        <v>3284</v>
      </c>
      <c r="D152" s="120" t="s">
        <v>2995</v>
      </c>
      <c r="E152" s="122">
        <v>20.525848188900071</v>
      </c>
      <c r="F152" s="122">
        <v>4.9180859728180213</v>
      </c>
      <c r="G152" s="122">
        <v>5.83</v>
      </c>
      <c r="H152" s="122">
        <v>0.78</v>
      </c>
      <c r="I152" s="122">
        <v>0</v>
      </c>
      <c r="J152" s="122">
        <v>32.049999999999997</v>
      </c>
      <c r="L152" s="374"/>
    </row>
    <row r="153" spans="1:12" x14ac:dyDescent="0.3">
      <c r="A153" s="120"/>
      <c r="B153" s="282" t="s">
        <v>3072</v>
      </c>
      <c r="C153" s="120" t="s">
        <v>3073</v>
      </c>
      <c r="D153" s="120" t="s">
        <v>2996</v>
      </c>
      <c r="E153" s="122">
        <v>32.359407015843985</v>
      </c>
      <c r="F153" s="122">
        <v>8.3177177202121744</v>
      </c>
      <c r="G153" s="122">
        <v>6.93</v>
      </c>
      <c r="H153" s="122">
        <v>0.86</v>
      </c>
      <c r="I153" s="122">
        <v>0</v>
      </c>
      <c r="J153" s="122">
        <v>48.47</v>
      </c>
      <c r="L153" s="374"/>
    </row>
    <row r="154" spans="1:12" x14ac:dyDescent="0.3">
      <c r="A154" s="120"/>
      <c r="B154" s="282" t="s">
        <v>3074</v>
      </c>
      <c r="C154" s="120" t="s">
        <v>3075</v>
      </c>
      <c r="D154" s="120" t="s">
        <v>2997</v>
      </c>
      <c r="E154" s="122">
        <v>32.359407015843985</v>
      </c>
      <c r="F154" s="122">
        <v>8.3177177202121744</v>
      </c>
      <c r="G154" s="122">
        <v>6.93</v>
      </c>
      <c r="H154" s="122">
        <v>0.83</v>
      </c>
      <c r="I154" s="122">
        <v>0</v>
      </c>
      <c r="J154" s="122">
        <v>48.44</v>
      </c>
      <c r="L154" s="374"/>
    </row>
    <row r="155" spans="1:12" x14ac:dyDescent="0.3">
      <c r="A155" s="120"/>
      <c r="B155" s="282" t="s">
        <v>3579</v>
      </c>
      <c r="C155" s="120" t="s">
        <v>3592</v>
      </c>
      <c r="D155" s="120" t="s">
        <v>3621</v>
      </c>
      <c r="E155" s="122">
        <v>57.590628810672861</v>
      </c>
      <c r="F155" s="122">
        <v>20.142068430988985</v>
      </c>
      <c r="G155" s="122">
        <v>8.42</v>
      </c>
      <c r="H155" s="122">
        <v>0.67</v>
      </c>
      <c r="I155" s="122">
        <v>0</v>
      </c>
      <c r="J155" s="122">
        <v>86.82</v>
      </c>
      <c r="L155" s="374"/>
    </row>
    <row r="156" spans="1:12" x14ac:dyDescent="0.3">
      <c r="A156" s="120"/>
      <c r="B156" s="282" t="s">
        <v>11</v>
      </c>
      <c r="C156" s="120" t="s">
        <v>3077</v>
      </c>
      <c r="D156" s="120" t="s">
        <v>2999</v>
      </c>
      <c r="E156" s="122">
        <v>57.590628810672861</v>
      </c>
      <c r="F156" s="122">
        <v>20.142068430988985</v>
      </c>
      <c r="G156" s="122">
        <v>6.93</v>
      </c>
      <c r="H156" s="122">
        <v>0.84</v>
      </c>
      <c r="I156" s="122">
        <v>0</v>
      </c>
      <c r="J156" s="122">
        <v>85.5</v>
      </c>
      <c r="L156" s="374"/>
    </row>
    <row r="157" spans="1:12" x14ac:dyDescent="0.3">
      <c r="A157" s="120"/>
      <c r="B157" s="282" t="s">
        <v>447</v>
      </c>
      <c r="C157" s="120" t="s">
        <v>3078</v>
      </c>
      <c r="D157" s="120" t="s">
        <v>3000</v>
      </c>
      <c r="E157" s="122">
        <v>30.214725085990644</v>
      </c>
      <c r="F157" s="122">
        <v>6.1068102374022946</v>
      </c>
      <c r="G157" s="122">
        <v>10.82</v>
      </c>
      <c r="H157" s="122">
        <v>0.86</v>
      </c>
      <c r="I157" s="122">
        <v>0</v>
      </c>
      <c r="J157" s="122">
        <v>48</v>
      </c>
      <c r="L157" s="374"/>
    </row>
    <row r="158" spans="1:12" x14ac:dyDescent="0.3">
      <c r="A158" s="120"/>
      <c r="B158" s="282" t="s">
        <v>3079</v>
      </c>
      <c r="C158" s="120" t="s">
        <v>3080</v>
      </c>
      <c r="D158" s="120" t="s">
        <v>3001</v>
      </c>
      <c r="E158" s="122">
        <v>38.092249250665709</v>
      </c>
      <c r="F158" s="122">
        <v>7.364393805423898</v>
      </c>
      <c r="G158" s="122">
        <v>7.49</v>
      </c>
      <c r="H158" s="122">
        <v>1.47</v>
      </c>
      <c r="I158" s="122">
        <v>0</v>
      </c>
      <c r="J158" s="122">
        <v>54.42</v>
      </c>
      <c r="L158" s="374"/>
    </row>
    <row r="159" spans="1:12" x14ac:dyDescent="0.3">
      <c r="A159" s="120"/>
      <c r="B159" s="282" t="s">
        <v>3081</v>
      </c>
      <c r="C159" s="120" t="s">
        <v>3082</v>
      </c>
      <c r="D159" s="120" t="s">
        <v>3002</v>
      </c>
      <c r="E159" s="122">
        <v>38.092249250665709</v>
      </c>
      <c r="F159" s="122">
        <v>7.364393805423898</v>
      </c>
      <c r="G159" s="122">
        <v>10.82</v>
      </c>
      <c r="H159" s="122">
        <v>0.86</v>
      </c>
      <c r="I159" s="122">
        <v>0</v>
      </c>
      <c r="J159" s="122">
        <v>57.14</v>
      </c>
      <c r="L159" s="374"/>
    </row>
    <row r="160" spans="1:12" x14ac:dyDescent="0.3">
      <c r="A160" s="120"/>
      <c r="B160" s="282" t="s">
        <v>3083</v>
      </c>
      <c r="C160" s="120" t="s">
        <v>3084</v>
      </c>
      <c r="D160" s="120" t="s">
        <v>3003</v>
      </c>
      <c r="E160" s="122">
        <v>43.701116115702284</v>
      </c>
      <c r="F160" s="122">
        <v>7.7312433190609946</v>
      </c>
      <c r="G160" s="122">
        <v>7.49</v>
      </c>
      <c r="H160" s="122">
        <v>1.47</v>
      </c>
      <c r="I160" s="122">
        <v>0</v>
      </c>
      <c r="J160" s="122">
        <v>60.39</v>
      </c>
      <c r="L160" s="374"/>
    </row>
    <row r="161" spans="1:12" x14ac:dyDescent="0.3">
      <c r="A161" s="120"/>
      <c r="B161" s="282" t="s">
        <v>3085</v>
      </c>
      <c r="C161" s="120" t="s">
        <v>3086</v>
      </c>
      <c r="D161" s="120" t="s">
        <v>3004</v>
      </c>
      <c r="E161" s="122">
        <v>43.701116115702284</v>
      </c>
      <c r="F161" s="122">
        <v>7.7312433190609946</v>
      </c>
      <c r="G161" s="122">
        <v>8.91</v>
      </c>
      <c r="H161" s="122">
        <v>0.86</v>
      </c>
      <c r="I161" s="122">
        <v>0</v>
      </c>
      <c r="J161" s="122">
        <v>61.2</v>
      </c>
      <c r="L161" s="374"/>
    </row>
    <row r="162" spans="1:12" x14ac:dyDescent="0.3">
      <c r="A162" s="120"/>
      <c r="B162" s="282" t="s">
        <v>467</v>
      </c>
      <c r="C162" s="120" t="s">
        <v>3087</v>
      </c>
      <c r="D162" s="120" t="s">
        <v>3005</v>
      </c>
      <c r="E162" s="122">
        <v>29.862488393993598</v>
      </c>
      <c r="F162" s="122">
        <v>10.7583354398131</v>
      </c>
      <c r="G162" s="122">
        <v>5.83</v>
      </c>
      <c r="H162" s="122">
        <v>0.97</v>
      </c>
      <c r="I162" s="122">
        <v>0</v>
      </c>
      <c r="J162" s="122">
        <v>47.42</v>
      </c>
      <c r="L162" s="374"/>
    </row>
    <row r="163" spans="1:12" x14ac:dyDescent="0.3">
      <c r="A163" s="120"/>
      <c r="B163" s="282" t="s">
        <v>461</v>
      </c>
      <c r="C163" s="120" t="s">
        <v>3088</v>
      </c>
      <c r="D163" s="120" t="s">
        <v>3006</v>
      </c>
      <c r="E163" s="122">
        <v>41.901880131367811</v>
      </c>
      <c r="F163" s="122">
        <v>9.718679151805711</v>
      </c>
      <c r="G163" s="122">
        <v>5.83</v>
      </c>
      <c r="H163" s="122">
        <v>0.97</v>
      </c>
      <c r="I163" s="122">
        <v>0</v>
      </c>
      <c r="J163" s="122">
        <v>58.42</v>
      </c>
      <c r="L163" s="374"/>
    </row>
    <row r="164" spans="1:12" x14ac:dyDescent="0.3">
      <c r="A164" s="120"/>
      <c r="B164" s="282" t="s">
        <v>459</v>
      </c>
      <c r="C164" s="120" t="s">
        <v>3089</v>
      </c>
      <c r="D164" s="120" t="s">
        <v>3007</v>
      </c>
      <c r="E164" s="122">
        <v>52.46823721717746</v>
      </c>
      <c r="F164" s="122">
        <v>11.325430440849983</v>
      </c>
      <c r="G164" s="122">
        <v>6.93</v>
      </c>
      <c r="H164" s="122">
        <v>0.97</v>
      </c>
      <c r="I164" s="122">
        <v>0</v>
      </c>
      <c r="J164" s="122">
        <v>71.69</v>
      </c>
      <c r="L164" s="374"/>
    </row>
    <row r="165" spans="1:12" x14ac:dyDescent="0.3">
      <c r="A165" s="120"/>
      <c r="B165" s="282" t="s">
        <v>476</v>
      </c>
      <c r="C165" s="120" t="s">
        <v>3090</v>
      </c>
      <c r="D165" s="120" t="s">
        <v>3008</v>
      </c>
      <c r="E165" s="122">
        <v>21.75</v>
      </c>
      <c r="F165" s="122">
        <v>7.25</v>
      </c>
      <c r="G165" s="122">
        <v>5.83</v>
      </c>
      <c r="H165" s="122">
        <v>0.97</v>
      </c>
      <c r="I165" s="122">
        <v>0</v>
      </c>
      <c r="J165" s="122">
        <v>35.799999999999997</v>
      </c>
      <c r="L165" s="374"/>
    </row>
    <row r="166" spans="1:12" x14ac:dyDescent="0.3">
      <c r="A166" s="120"/>
      <c r="B166" s="282" t="s">
        <v>469</v>
      </c>
      <c r="C166" s="120" t="s">
        <v>3091</v>
      </c>
      <c r="D166" s="120" t="s">
        <v>3009</v>
      </c>
      <c r="E166" s="122">
        <v>26.107500000000002</v>
      </c>
      <c r="F166" s="122">
        <v>8.7025000000000006</v>
      </c>
      <c r="G166" s="122">
        <v>5.83</v>
      </c>
      <c r="H166" s="122">
        <v>0.97</v>
      </c>
      <c r="I166" s="122">
        <v>0</v>
      </c>
      <c r="J166" s="122">
        <v>41.61</v>
      </c>
      <c r="L166" s="374"/>
    </row>
    <row r="167" spans="1:12" x14ac:dyDescent="0.3">
      <c r="A167" s="120"/>
      <c r="B167" s="282" t="s">
        <v>3092</v>
      </c>
      <c r="C167" s="120" t="s">
        <v>3093</v>
      </c>
      <c r="D167" s="120" t="s">
        <v>3010</v>
      </c>
      <c r="E167" s="122">
        <v>29.377500000000001</v>
      </c>
      <c r="F167" s="122">
        <v>9.7925000000000004</v>
      </c>
      <c r="G167" s="122">
        <v>6.93</v>
      </c>
      <c r="H167" s="122">
        <v>0.97</v>
      </c>
      <c r="I167" s="122">
        <v>0</v>
      </c>
      <c r="J167" s="122">
        <v>47.07</v>
      </c>
      <c r="L167" s="374"/>
    </row>
    <row r="168" spans="1:12" x14ac:dyDescent="0.3">
      <c r="A168" s="120"/>
      <c r="B168" s="282" t="s">
        <v>3094</v>
      </c>
      <c r="C168" s="120" t="s">
        <v>3095</v>
      </c>
      <c r="D168" s="120" t="s">
        <v>3011</v>
      </c>
      <c r="E168" s="122">
        <v>29.377500000000001</v>
      </c>
      <c r="F168" s="122">
        <v>9.7925000000000004</v>
      </c>
      <c r="G168" s="122">
        <v>8.42</v>
      </c>
      <c r="H168" s="122">
        <v>0.97</v>
      </c>
      <c r="I168" s="122">
        <v>0</v>
      </c>
      <c r="J168" s="122">
        <v>48.56</v>
      </c>
      <c r="L168" s="374"/>
    </row>
    <row r="169" spans="1:12" x14ac:dyDescent="0.3">
      <c r="A169" s="120"/>
      <c r="D169" s="120" t="s">
        <v>1164</v>
      </c>
      <c r="E169" s="122"/>
      <c r="L169" s="374"/>
    </row>
    <row r="170" spans="1:12" x14ac:dyDescent="0.3">
      <c r="A170" s="120"/>
      <c r="B170" s="282" t="s">
        <v>2491</v>
      </c>
      <c r="C170" s="120" t="s">
        <v>3285</v>
      </c>
      <c r="D170" s="120" t="s">
        <v>3637</v>
      </c>
      <c r="E170" s="122">
        <v>0</v>
      </c>
      <c r="F170" s="122">
        <v>7.35</v>
      </c>
      <c r="G170" s="122">
        <v>0</v>
      </c>
      <c r="H170" s="122">
        <v>0</v>
      </c>
      <c r="I170" s="122">
        <v>0</v>
      </c>
      <c r="J170" s="122">
        <v>7.35</v>
      </c>
      <c r="L170" s="374"/>
    </row>
    <row r="171" spans="1:12" x14ac:dyDescent="0.3">
      <c r="A171" s="120"/>
      <c r="B171" s="282" t="s">
        <v>2493</v>
      </c>
      <c r="C171" s="120" t="s">
        <v>3286</v>
      </c>
      <c r="D171" s="120" t="s">
        <v>3638</v>
      </c>
      <c r="E171" s="122">
        <v>0</v>
      </c>
      <c r="F171" s="122">
        <v>7.16</v>
      </c>
      <c r="G171" s="122">
        <v>0</v>
      </c>
      <c r="H171" s="122">
        <v>0</v>
      </c>
      <c r="I171" s="122">
        <v>0</v>
      </c>
      <c r="J171" s="122">
        <v>7.16</v>
      </c>
      <c r="L171" s="374"/>
    </row>
    <row r="172" spans="1:12" x14ac:dyDescent="0.3">
      <c r="A172" s="120"/>
      <c r="B172" s="282" t="s">
        <v>3593</v>
      </c>
      <c r="C172" s="120" t="s">
        <v>3547</v>
      </c>
      <c r="D172" s="120" t="s">
        <v>3639</v>
      </c>
      <c r="E172" s="122">
        <v>0</v>
      </c>
      <c r="F172" s="122">
        <v>11.97</v>
      </c>
      <c r="G172" s="122">
        <v>0</v>
      </c>
      <c r="H172" s="122">
        <v>0</v>
      </c>
      <c r="I172" s="122">
        <v>0</v>
      </c>
      <c r="J172" s="122">
        <v>11.97</v>
      </c>
      <c r="L172" s="374"/>
    </row>
    <row r="173" spans="1:12" x14ac:dyDescent="0.3">
      <c r="A173" s="120"/>
      <c r="B173" s="282" t="s">
        <v>3594</v>
      </c>
      <c r="C173" s="120" t="s">
        <v>3549</v>
      </c>
      <c r="D173" s="120" t="s">
        <v>3640</v>
      </c>
      <c r="E173" s="122">
        <v>0</v>
      </c>
      <c r="F173" s="122">
        <v>16.91</v>
      </c>
      <c r="G173" s="122">
        <v>0</v>
      </c>
      <c r="H173" s="122">
        <v>0</v>
      </c>
      <c r="I173" s="122">
        <v>0</v>
      </c>
      <c r="J173" s="122">
        <v>16.91</v>
      </c>
      <c r="L173" s="374"/>
    </row>
    <row r="174" spans="1:12" x14ac:dyDescent="0.3">
      <c r="A174" s="120"/>
      <c r="B174" s="282" t="s">
        <v>3595</v>
      </c>
      <c r="C174" s="120" t="s">
        <v>3551</v>
      </c>
      <c r="D174" s="120" t="s">
        <v>3641</v>
      </c>
      <c r="E174" s="122">
        <v>0</v>
      </c>
      <c r="F174" s="122">
        <v>26.79</v>
      </c>
      <c r="G174" s="122">
        <v>0</v>
      </c>
      <c r="H174" s="122">
        <v>0</v>
      </c>
      <c r="I174" s="122">
        <v>0</v>
      </c>
      <c r="J174" s="122">
        <v>26.79</v>
      </c>
      <c r="L174" s="374"/>
    </row>
    <row r="175" spans="1:12" x14ac:dyDescent="0.3">
      <c r="A175" s="120"/>
      <c r="B175" s="282" t="s">
        <v>3596</v>
      </c>
      <c r="C175" s="120" t="s">
        <v>3553</v>
      </c>
      <c r="D175" s="120" t="s">
        <v>3642</v>
      </c>
      <c r="E175" s="122">
        <v>0</v>
      </c>
      <c r="F175" s="122">
        <v>46.04</v>
      </c>
      <c r="G175" s="122">
        <v>0</v>
      </c>
      <c r="H175" s="122">
        <v>0</v>
      </c>
      <c r="I175" s="122">
        <v>0</v>
      </c>
      <c r="J175" s="122">
        <v>46.04</v>
      </c>
      <c r="L175" s="374"/>
    </row>
    <row r="176" spans="1:12" x14ac:dyDescent="0.3">
      <c r="A176" s="120"/>
      <c r="B176" s="282" t="s">
        <v>3597</v>
      </c>
      <c r="C176" s="120" t="s">
        <v>3555</v>
      </c>
      <c r="D176" s="120" t="s">
        <v>3643</v>
      </c>
      <c r="E176" s="122">
        <v>0</v>
      </c>
      <c r="F176" s="122">
        <v>66.069999999999993</v>
      </c>
      <c r="G176" s="122">
        <v>0</v>
      </c>
      <c r="H176" s="122">
        <v>0</v>
      </c>
      <c r="I176" s="122">
        <v>0</v>
      </c>
      <c r="J176" s="122">
        <v>66.069999999999993</v>
      </c>
      <c r="L176" s="374"/>
    </row>
    <row r="177" spans="1:12" x14ac:dyDescent="0.3">
      <c r="A177" s="120"/>
      <c r="D177" s="120" t="s">
        <v>1164</v>
      </c>
      <c r="E177" s="122"/>
      <c r="L177" s="374"/>
    </row>
    <row r="178" spans="1:12" x14ac:dyDescent="0.3">
      <c r="A178" s="120"/>
      <c r="B178" s="282" t="s">
        <v>3598</v>
      </c>
      <c r="C178" s="120" t="s">
        <v>3547</v>
      </c>
      <c r="D178" s="120" t="s">
        <v>3644</v>
      </c>
      <c r="E178" s="122">
        <v>0</v>
      </c>
      <c r="F178" s="122">
        <v>11.97</v>
      </c>
      <c r="G178" s="122">
        <v>0</v>
      </c>
      <c r="H178" s="122">
        <v>0</v>
      </c>
      <c r="I178" s="122">
        <v>0</v>
      </c>
      <c r="J178" s="122">
        <v>11.97</v>
      </c>
      <c r="L178" s="374"/>
    </row>
    <row r="179" spans="1:12" x14ac:dyDescent="0.3">
      <c r="A179" s="120"/>
      <c r="B179" s="282" t="s">
        <v>3599</v>
      </c>
      <c r="C179" s="120" t="s">
        <v>3549</v>
      </c>
      <c r="D179" s="120" t="s">
        <v>3645</v>
      </c>
      <c r="E179" s="122">
        <v>0</v>
      </c>
      <c r="F179" s="122">
        <v>16.91</v>
      </c>
      <c r="G179" s="122">
        <v>0</v>
      </c>
      <c r="H179" s="122">
        <v>0</v>
      </c>
      <c r="I179" s="122">
        <v>0</v>
      </c>
      <c r="J179" s="122">
        <v>16.91</v>
      </c>
      <c r="L179" s="374"/>
    </row>
    <row r="180" spans="1:12" x14ac:dyDescent="0.3">
      <c r="A180" s="120"/>
      <c r="B180" s="282" t="s">
        <v>3600</v>
      </c>
      <c r="C180" s="120" t="s">
        <v>3551</v>
      </c>
      <c r="D180" s="120" t="s">
        <v>3646</v>
      </c>
      <c r="E180" s="122">
        <v>0</v>
      </c>
      <c r="F180" s="122">
        <v>26.79</v>
      </c>
      <c r="G180" s="122">
        <v>0</v>
      </c>
      <c r="H180" s="122">
        <v>0</v>
      </c>
      <c r="I180" s="122">
        <v>0</v>
      </c>
      <c r="J180" s="122">
        <v>26.79</v>
      </c>
      <c r="L180" s="374"/>
    </row>
    <row r="181" spans="1:12" x14ac:dyDescent="0.3">
      <c r="A181" s="120"/>
      <c r="B181" s="282" t="s">
        <v>3601</v>
      </c>
      <c r="C181" s="120" t="s">
        <v>3553</v>
      </c>
      <c r="D181" s="120" t="s">
        <v>3647</v>
      </c>
      <c r="E181" s="122">
        <v>0</v>
      </c>
      <c r="F181" s="122">
        <v>46.04</v>
      </c>
      <c r="G181" s="122">
        <v>0</v>
      </c>
      <c r="H181" s="122">
        <v>0</v>
      </c>
      <c r="I181" s="122">
        <v>0</v>
      </c>
      <c r="J181" s="122">
        <v>46.04</v>
      </c>
      <c r="L181" s="374"/>
    </row>
    <row r="182" spans="1:12" x14ac:dyDescent="0.3">
      <c r="A182" s="120"/>
      <c r="B182" s="282" t="s">
        <v>3602</v>
      </c>
      <c r="C182" s="120" t="s">
        <v>3555</v>
      </c>
      <c r="D182" s="120" t="s">
        <v>3648</v>
      </c>
      <c r="E182" s="122">
        <v>0</v>
      </c>
      <c r="F182" s="122">
        <v>66.069999999999993</v>
      </c>
      <c r="G182" s="122">
        <v>0</v>
      </c>
      <c r="H182" s="122">
        <v>0</v>
      </c>
      <c r="I182" s="122">
        <v>0</v>
      </c>
      <c r="J182" s="122">
        <v>66.069999999999993</v>
      </c>
      <c r="L182" s="374"/>
    </row>
    <row r="183" spans="1:12" x14ac:dyDescent="0.3">
      <c r="A183" s="120"/>
      <c r="D183" s="120" t="s">
        <v>1164</v>
      </c>
      <c r="E183" s="122"/>
      <c r="L183" s="374"/>
    </row>
    <row r="184" spans="1:12" x14ac:dyDescent="0.3">
      <c r="A184" s="120"/>
      <c r="B184" s="282" t="s">
        <v>2521</v>
      </c>
      <c r="C184" s="120" t="s">
        <v>2080</v>
      </c>
      <c r="D184" s="120" t="s">
        <v>3649</v>
      </c>
      <c r="E184" s="122">
        <v>32.887500000000003</v>
      </c>
      <c r="F184" s="122">
        <v>10.9625</v>
      </c>
      <c r="G184" s="122">
        <v>0</v>
      </c>
      <c r="H184" s="122">
        <v>0</v>
      </c>
      <c r="I184" s="122">
        <v>0</v>
      </c>
      <c r="J184" s="122">
        <v>43.85</v>
      </c>
      <c r="L184" s="374"/>
    </row>
    <row r="185" spans="1:12" x14ac:dyDescent="0.3">
      <c r="A185" s="120"/>
      <c r="B185" s="282" t="s">
        <v>2499</v>
      </c>
      <c r="C185" s="120" t="s">
        <v>2500</v>
      </c>
      <c r="D185" s="120" t="s">
        <v>3650</v>
      </c>
      <c r="E185" s="122">
        <v>23.962499999999999</v>
      </c>
      <c r="F185" s="122">
        <v>7.9874999999999998</v>
      </c>
      <c r="G185" s="122">
        <v>0</v>
      </c>
      <c r="H185" s="122">
        <v>0</v>
      </c>
      <c r="I185" s="122">
        <v>0</v>
      </c>
      <c r="J185" s="122">
        <v>31.95</v>
      </c>
      <c r="L185" s="374"/>
    </row>
    <row r="186" spans="1:12" x14ac:dyDescent="0.3">
      <c r="A186" s="120"/>
      <c r="B186" s="282" t="s">
        <v>2518</v>
      </c>
      <c r="C186" s="120" t="s">
        <v>3287</v>
      </c>
      <c r="D186" s="120" t="s">
        <v>3651</v>
      </c>
      <c r="E186" s="122">
        <v>169.60499999999999</v>
      </c>
      <c r="F186" s="122">
        <v>56.534999999999997</v>
      </c>
      <c r="G186" s="122">
        <v>0</v>
      </c>
      <c r="H186" s="122">
        <v>0</v>
      </c>
      <c r="I186" s="122">
        <v>0</v>
      </c>
      <c r="J186" s="122">
        <v>226.14</v>
      </c>
      <c r="L186" s="374"/>
    </row>
    <row r="187" spans="1:12" x14ac:dyDescent="0.3">
      <c r="A187" s="120"/>
      <c r="B187" s="282" t="s">
        <v>2522</v>
      </c>
      <c r="C187" s="120" t="s">
        <v>2523</v>
      </c>
      <c r="D187" s="120" t="s">
        <v>3652</v>
      </c>
      <c r="E187" s="122">
        <v>31.837500000000002</v>
      </c>
      <c r="F187" s="122">
        <v>10.612500000000001</v>
      </c>
      <c r="G187" s="122">
        <v>0</v>
      </c>
      <c r="H187" s="122">
        <v>0</v>
      </c>
      <c r="I187" s="122">
        <v>0</v>
      </c>
      <c r="J187" s="122">
        <v>42.45</v>
      </c>
      <c r="L187" s="374"/>
    </row>
    <row r="188" spans="1:12" x14ac:dyDescent="0.3">
      <c r="A188" s="120"/>
      <c r="B188" s="282" t="s">
        <v>2502</v>
      </c>
      <c r="C188" s="120" t="s">
        <v>3288</v>
      </c>
      <c r="D188" s="120" t="s">
        <v>3653</v>
      </c>
      <c r="E188" s="122">
        <v>27.172499999999999</v>
      </c>
      <c r="F188" s="122">
        <v>9.0574999999999992</v>
      </c>
      <c r="G188" s="122">
        <v>0</v>
      </c>
      <c r="H188" s="122">
        <v>0</v>
      </c>
      <c r="I188" s="122">
        <v>0</v>
      </c>
      <c r="J188" s="122">
        <v>36.229999999999997</v>
      </c>
      <c r="L188" s="374"/>
    </row>
    <row r="189" spans="1:12" x14ac:dyDescent="0.3">
      <c r="A189" s="120"/>
      <c r="B189" s="282" t="s">
        <v>2504</v>
      </c>
      <c r="C189" s="120" t="s">
        <v>3289</v>
      </c>
      <c r="D189" s="120" t="s">
        <v>3654</v>
      </c>
      <c r="E189" s="122">
        <v>69.765000000000001</v>
      </c>
      <c r="F189" s="122">
        <v>23.254999999999999</v>
      </c>
      <c r="G189" s="122">
        <v>0</v>
      </c>
      <c r="H189" s="122">
        <v>0</v>
      </c>
      <c r="I189" s="122">
        <v>0</v>
      </c>
      <c r="J189" s="122">
        <v>93.02</v>
      </c>
      <c r="L189" s="374"/>
    </row>
    <row r="190" spans="1:12" x14ac:dyDescent="0.3">
      <c r="A190" s="120"/>
      <c r="B190" s="282" t="s">
        <v>2526</v>
      </c>
      <c r="C190" s="120" t="s">
        <v>3098</v>
      </c>
      <c r="D190" s="120" t="s">
        <v>3655</v>
      </c>
      <c r="E190" s="122">
        <v>35.714999999999996</v>
      </c>
      <c r="F190" s="122">
        <v>11.904999999999999</v>
      </c>
      <c r="G190" s="122">
        <v>0</v>
      </c>
      <c r="H190" s="122">
        <v>0</v>
      </c>
      <c r="I190" s="122">
        <v>0</v>
      </c>
      <c r="J190" s="122">
        <v>47.62</v>
      </c>
      <c r="L190" s="374"/>
    </row>
    <row r="191" spans="1:12" x14ac:dyDescent="0.3">
      <c r="A191" s="120"/>
      <c r="B191" s="282" t="s">
        <v>2528</v>
      </c>
      <c r="C191" s="120" t="s">
        <v>2529</v>
      </c>
      <c r="D191" s="120" t="s">
        <v>3656</v>
      </c>
      <c r="E191" s="122">
        <v>61.522500000000001</v>
      </c>
      <c r="F191" s="122">
        <v>20.5075</v>
      </c>
      <c r="G191" s="122">
        <v>0</v>
      </c>
      <c r="H191" s="122">
        <v>0</v>
      </c>
      <c r="I191" s="122">
        <v>0</v>
      </c>
      <c r="J191" s="122">
        <v>82.03</v>
      </c>
      <c r="L191" s="374"/>
    </row>
    <row r="192" spans="1:12" x14ac:dyDescent="0.3">
      <c r="A192" s="120"/>
      <c r="B192" s="282" t="s">
        <v>2530</v>
      </c>
      <c r="C192" s="120" t="s">
        <v>2531</v>
      </c>
      <c r="D192" s="120" t="s">
        <v>3657</v>
      </c>
      <c r="E192" s="122">
        <v>77.947500000000005</v>
      </c>
      <c r="F192" s="122">
        <v>25.982500000000002</v>
      </c>
      <c r="G192" s="122">
        <v>0</v>
      </c>
      <c r="H192" s="122">
        <v>0</v>
      </c>
      <c r="I192" s="122">
        <v>0</v>
      </c>
      <c r="J192" s="122">
        <v>103.93</v>
      </c>
      <c r="L192" s="374"/>
    </row>
    <row r="193" spans="1:12" x14ac:dyDescent="0.3">
      <c r="B193" s="282" t="s">
        <v>2524</v>
      </c>
      <c r="C193" s="120" t="s">
        <v>3290</v>
      </c>
      <c r="D193" s="120" t="s">
        <v>3658</v>
      </c>
      <c r="E193" s="122">
        <v>180.88499999999999</v>
      </c>
      <c r="F193" s="122">
        <v>60.295000000000002</v>
      </c>
      <c r="G193" s="122">
        <v>13.31</v>
      </c>
      <c r="H193" s="122">
        <v>0</v>
      </c>
      <c r="I193" s="122">
        <v>0</v>
      </c>
      <c r="J193" s="122">
        <v>254.49</v>
      </c>
      <c r="L193" s="374"/>
    </row>
    <row r="194" spans="1:12" x14ac:dyDescent="0.3">
      <c r="B194" s="282" t="s">
        <v>2532</v>
      </c>
      <c r="C194" s="120" t="s">
        <v>3099</v>
      </c>
      <c r="D194" s="120" t="s">
        <v>3659</v>
      </c>
      <c r="E194" s="122">
        <v>27.36</v>
      </c>
      <c r="F194" s="122">
        <v>9.1199999999999992</v>
      </c>
      <c r="G194" s="122">
        <v>0</v>
      </c>
      <c r="H194" s="122">
        <v>0</v>
      </c>
      <c r="I194" s="122">
        <v>0</v>
      </c>
      <c r="J194" s="122">
        <v>36.479999999999997</v>
      </c>
      <c r="L194" s="374"/>
    </row>
    <row r="195" spans="1:12" x14ac:dyDescent="0.3">
      <c r="A195" s="121"/>
      <c r="B195" s="282" t="s">
        <v>2533</v>
      </c>
      <c r="C195" s="120" t="s">
        <v>3100</v>
      </c>
      <c r="D195" s="120" t="s">
        <v>3660</v>
      </c>
      <c r="E195" s="122">
        <v>16.664999999999999</v>
      </c>
      <c r="F195" s="122">
        <v>5.5549999999999997</v>
      </c>
      <c r="G195" s="122">
        <v>0</v>
      </c>
      <c r="H195" s="122">
        <v>0</v>
      </c>
      <c r="I195" s="122">
        <v>0</v>
      </c>
      <c r="J195" s="122">
        <v>22.22</v>
      </c>
      <c r="L195" s="374"/>
    </row>
    <row r="196" spans="1:12" x14ac:dyDescent="0.3">
      <c r="B196" s="282" t="s">
        <v>2534</v>
      </c>
      <c r="C196" s="120" t="s">
        <v>3101</v>
      </c>
      <c r="D196" s="120" t="s">
        <v>3661</v>
      </c>
      <c r="E196" s="122">
        <v>13.717499999999999</v>
      </c>
      <c r="F196" s="122">
        <v>4.5724999999999998</v>
      </c>
      <c r="G196" s="122">
        <v>0</v>
      </c>
      <c r="H196" s="122">
        <v>0</v>
      </c>
      <c r="I196" s="122">
        <v>0</v>
      </c>
      <c r="J196" s="122">
        <v>18.29</v>
      </c>
      <c r="L196" s="374"/>
    </row>
    <row r="197" spans="1:12" x14ac:dyDescent="0.3">
      <c r="B197" s="282" t="s">
        <v>2537</v>
      </c>
      <c r="C197" s="120" t="s">
        <v>3291</v>
      </c>
      <c r="D197" s="120" t="s">
        <v>3662</v>
      </c>
      <c r="E197" s="122">
        <v>129.5925</v>
      </c>
      <c r="F197" s="122">
        <v>43.197499999999998</v>
      </c>
      <c r="G197" s="122">
        <v>0</v>
      </c>
      <c r="H197" s="122">
        <v>0</v>
      </c>
      <c r="I197" s="122">
        <v>0</v>
      </c>
      <c r="J197" s="122">
        <v>172.79</v>
      </c>
      <c r="L197" s="374"/>
    </row>
    <row r="198" spans="1:12" x14ac:dyDescent="0.3">
      <c r="D198" s="120" t="s">
        <v>1164</v>
      </c>
      <c r="E198" s="122"/>
      <c r="L198" s="374"/>
    </row>
    <row r="199" spans="1:12" x14ac:dyDescent="0.3">
      <c r="B199" s="282" t="s">
        <v>2535</v>
      </c>
      <c r="C199" s="120" t="s">
        <v>2096</v>
      </c>
      <c r="D199" s="120" t="s">
        <v>3663</v>
      </c>
      <c r="E199" s="122">
        <v>95.377499999999998</v>
      </c>
      <c r="F199" s="122">
        <v>31.7925</v>
      </c>
      <c r="G199" s="122">
        <v>0</v>
      </c>
      <c r="H199" s="122">
        <v>0</v>
      </c>
      <c r="I199" s="122">
        <v>0</v>
      </c>
      <c r="J199" s="122">
        <v>127.17</v>
      </c>
      <c r="L199" s="374"/>
    </row>
    <row r="200" spans="1:12" x14ac:dyDescent="0.3">
      <c r="D200" s="120" t="s">
        <v>1164</v>
      </c>
      <c r="E200" s="122"/>
      <c r="L200" s="374"/>
    </row>
    <row r="201" spans="1:12" s="26" customFormat="1" x14ac:dyDescent="0.3">
      <c r="A201" s="424"/>
      <c r="B201" s="425" t="s">
        <v>3603</v>
      </c>
      <c r="C201" s="102" t="s">
        <v>3604</v>
      </c>
      <c r="D201" s="120" t="s">
        <v>3664</v>
      </c>
      <c r="E201" s="423">
        <v>259.33</v>
      </c>
      <c r="F201" s="423">
        <v>33.39</v>
      </c>
      <c r="G201" s="423">
        <v>23.53</v>
      </c>
      <c r="H201" s="423">
        <v>4.7699999999999996</v>
      </c>
      <c r="I201" s="423">
        <v>0</v>
      </c>
      <c r="J201" s="423">
        <v>321.02</v>
      </c>
      <c r="K201" s="26" t="s">
        <v>3605</v>
      </c>
      <c r="L201" s="426"/>
    </row>
    <row r="202" spans="1:12" s="26" customFormat="1" x14ac:dyDescent="0.3">
      <c r="A202" s="424"/>
      <c r="B202" s="425"/>
      <c r="C202" s="102" t="s">
        <v>3606</v>
      </c>
      <c r="D202" s="120" t="s">
        <v>3665</v>
      </c>
      <c r="E202" s="423"/>
      <c r="F202" s="423"/>
      <c r="G202" s="423"/>
      <c r="H202" s="423"/>
      <c r="I202" s="423"/>
      <c r="J202" s="423"/>
      <c r="L202" s="426"/>
    </row>
    <row r="203" spans="1:12" x14ac:dyDescent="0.3">
      <c r="D203" s="120" t="s">
        <v>1164</v>
      </c>
      <c r="E203" s="122"/>
      <c r="L203" s="374"/>
    </row>
    <row r="204" spans="1:12" x14ac:dyDescent="0.3">
      <c r="B204" s="282" t="s">
        <v>2506</v>
      </c>
      <c r="C204" s="120" t="s">
        <v>3102</v>
      </c>
      <c r="D204" s="120" t="s">
        <v>3666</v>
      </c>
      <c r="E204" s="122">
        <v>16.98</v>
      </c>
      <c r="F204" s="122">
        <v>5.66</v>
      </c>
      <c r="G204" s="122">
        <v>0</v>
      </c>
      <c r="H204" s="122">
        <v>0</v>
      </c>
      <c r="I204" s="122">
        <v>0</v>
      </c>
      <c r="J204" s="122">
        <v>22.64</v>
      </c>
      <c r="L204" s="374"/>
    </row>
    <row r="205" spans="1:12" x14ac:dyDescent="0.3">
      <c r="B205" s="282" t="s">
        <v>2507</v>
      </c>
      <c r="C205" s="120" t="s">
        <v>3103</v>
      </c>
      <c r="D205" s="120" t="s">
        <v>3667</v>
      </c>
      <c r="E205" s="122">
        <v>20.797499999999999</v>
      </c>
      <c r="F205" s="122">
        <v>6.9325000000000001</v>
      </c>
      <c r="G205" s="122">
        <v>0</v>
      </c>
      <c r="H205" s="122">
        <v>0</v>
      </c>
      <c r="I205" s="122">
        <v>0</v>
      </c>
      <c r="J205" s="122">
        <v>27.73</v>
      </c>
      <c r="L205" s="374"/>
    </row>
    <row r="206" spans="1:12" x14ac:dyDescent="0.3">
      <c r="B206" s="282" t="s">
        <v>2508</v>
      </c>
      <c r="C206" s="120" t="s">
        <v>3104</v>
      </c>
      <c r="D206" s="120" t="s">
        <v>3668</v>
      </c>
      <c r="E206" s="122">
        <v>31.14</v>
      </c>
      <c r="F206" s="122">
        <v>10.38</v>
      </c>
      <c r="G206" s="122">
        <v>0</v>
      </c>
      <c r="H206" s="122">
        <v>0</v>
      </c>
      <c r="I206" s="122">
        <v>0</v>
      </c>
      <c r="J206" s="122">
        <v>41.52</v>
      </c>
      <c r="L206" s="374"/>
    </row>
    <row r="207" spans="1:12" x14ac:dyDescent="0.3">
      <c r="B207" s="282" t="s">
        <v>2519</v>
      </c>
      <c r="C207" s="120" t="s">
        <v>3292</v>
      </c>
      <c r="D207" s="120" t="s">
        <v>3669</v>
      </c>
      <c r="E207" s="122">
        <v>52.394999999999996</v>
      </c>
      <c r="F207" s="122">
        <v>17.465</v>
      </c>
      <c r="G207" s="122">
        <v>0</v>
      </c>
      <c r="H207" s="122">
        <v>0</v>
      </c>
      <c r="I207" s="122">
        <v>0</v>
      </c>
      <c r="J207" s="122">
        <v>69.86</v>
      </c>
      <c r="L207" s="374"/>
    </row>
    <row r="208" spans="1:12" x14ac:dyDescent="0.3">
      <c r="D208" s="120" t="s">
        <v>1164</v>
      </c>
      <c r="E208" s="122"/>
      <c r="L208" s="374"/>
    </row>
    <row r="209" spans="1:12" x14ac:dyDescent="0.3">
      <c r="A209" s="121"/>
      <c r="B209" s="282" t="s">
        <v>451</v>
      </c>
      <c r="C209" s="120" t="s">
        <v>3106</v>
      </c>
      <c r="D209" s="120" t="s">
        <v>3670</v>
      </c>
      <c r="E209" s="122">
        <v>16.98</v>
      </c>
      <c r="F209" s="122">
        <v>5.66</v>
      </c>
      <c r="G209" s="122">
        <v>0</v>
      </c>
      <c r="H209" s="122">
        <v>0</v>
      </c>
      <c r="I209" s="122">
        <v>17.059999999999999</v>
      </c>
      <c r="J209" s="122">
        <v>39.700000000000003</v>
      </c>
      <c r="L209" s="374"/>
    </row>
    <row r="210" spans="1:12" x14ac:dyDescent="0.3">
      <c r="B210" s="282" t="s">
        <v>449</v>
      </c>
      <c r="C210" s="120" t="s">
        <v>3107</v>
      </c>
      <c r="D210" s="120" t="s">
        <v>3671</v>
      </c>
      <c r="E210" s="122">
        <v>20.797499999999999</v>
      </c>
      <c r="F210" s="122">
        <v>6.9325000000000001</v>
      </c>
      <c r="G210" s="122">
        <v>0</v>
      </c>
      <c r="H210" s="122">
        <v>0</v>
      </c>
      <c r="I210" s="122">
        <v>17.059999999999999</v>
      </c>
      <c r="J210" s="122">
        <v>44.79</v>
      </c>
      <c r="L210" s="374"/>
    </row>
    <row r="211" spans="1:12" x14ac:dyDescent="0.3">
      <c r="B211" s="282" t="s">
        <v>463</v>
      </c>
      <c r="C211" s="120" t="s">
        <v>3293</v>
      </c>
      <c r="D211" s="120" t="s">
        <v>3672</v>
      </c>
      <c r="E211" s="122">
        <v>52.394999999999996</v>
      </c>
      <c r="F211" s="122">
        <v>17.465</v>
      </c>
      <c r="G211" s="122">
        <v>0</v>
      </c>
      <c r="H211" s="122">
        <v>0</v>
      </c>
      <c r="I211" s="122">
        <v>17.059999999999999</v>
      </c>
      <c r="J211" s="122">
        <v>86.92</v>
      </c>
      <c r="L211" s="374"/>
    </row>
    <row r="212" spans="1:12" x14ac:dyDescent="0.3">
      <c r="A212" s="120"/>
      <c r="B212" s="282" t="s">
        <v>482</v>
      </c>
      <c r="C212" s="120" t="s">
        <v>3109</v>
      </c>
      <c r="D212" s="120" t="s">
        <v>3673</v>
      </c>
      <c r="E212" s="122">
        <v>31.14</v>
      </c>
      <c r="F212" s="122">
        <v>10.38</v>
      </c>
      <c r="G212" s="122">
        <v>0</v>
      </c>
      <c r="H212" s="122">
        <v>0</v>
      </c>
      <c r="I212" s="122">
        <v>17.059999999999999</v>
      </c>
      <c r="J212" s="122">
        <v>58.58</v>
      </c>
      <c r="L212" s="374"/>
    </row>
    <row r="213" spans="1:12" x14ac:dyDescent="0.3">
      <c r="A213" s="120"/>
      <c r="B213" s="282" t="s">
        <v>474</v>
      </c>
      <c r="C213" s="120" t="s">
        <v>3110</v>
      </c>
      <c r="D213" s="120" t="s">
        <v>3674</v>
      </c>
      <c r="E213" s="122">
        <v>16.98</v>
      </c>
      <c r="F213" s="122">
        <v>5.66</v>
      </c>
      <c r="G213" s="122">
        <v>0</v>
      </c>
      <c r="H213" s="122">
        <v>0</v>
      </c>
      <c r="I213" s="122">
        <v>17.059999999999999</v>
      </c>
      <c r="J213" s="122">
        <v>39.700000000000003</v>
      </c>
      <c r="L213" s="374"/>
    </row>
    <row r="214" spans="1:12" x14ac:dyDescent="0.3">
      <c r="A214" s="120"/>
      <c r="B214" s="282" t="s">
        <v>455</v>
      </c>
      <c r="C214" s="120" t="s">
        <v>3111</v>
      </c>
      <c r="D214" s="120" t="s">
        <v>3675</v>
      </c>
      <c r="E214" s="122">
        <v>20.797499999999999</v>
      </c>
      <c r="F214" s="122">
        <v>6.9325000000000001</v>
      </c>
      <c r="G214" s="122">
        <v>0</v>
      </c>
      <c r="H214" s="122">
        <v>0</v>
      </c>
      <c r="I214" s="122">
        <v>17.059999999999999</v>
      </c>
      <c r="J214" s="122">
        <v>44.79</v>
      </c>
      <c r="L214" s="374"/>
    </row>
    <row r="215" spans="1:12" x14ac:dyDescent="0.3">
      <c r="A215" s="120"/>
      <c r="B215" s="282" t="s">
        <v>465</v>
      </c>
      <c r="C215" s="120" t="s">
        <v>3112</v>
      </c>
      <c r="D215" s="120" t="s">
        <v>3676</v>
      </c>
      <c r="E215" s="122">
        <v>31.14</v>
      </c>
      <c r="F215" s="122">
        <v>10.38</v>
      </c>
      <c r="G215" s="122">
        <v>0</v>
      </c>
      <c r="H215" s="122">
        <v>0</v>
      </c>
      <c r="I215" s="122">
        <v>17.059999999999999</v>
      </c>
      <c r="J215" s="122">
        <v>58.58</v>
      </c>
      <c r="L215" s="374"/>
    </row>
    <row r="216" spans="1:12" x14ac:dyDescent="0.3">
      <c r="A216" s="120"/>
      <c r="B216" s="282" t="s">
        <v>488</v>
      </c>
      <c r="C216" s="120" t="s">
        <v>3113</v>
      </c>
      <c r="D216" s="120" t="s">
        <v>3677</v>
      </c>
      <c r="E216" s="122">
        <v>16.98</v>
      </c>
      <c r="F216" s="122">
        <v>5.66</v>
      </c>
      <c r="G216" s="122">
        <v>0</v>
      </c>
      <c r="H216" s="122">
        <v>0</v>
      </c>
      <c r="I216" s="122">
        <v>17.059999999999999</v>
      </c>
      <c r="J216" s="122">
        <v>39.700000000000003</v>
      </c>
      <c r="L216" s="374"/>
    </row>
    <row r="217" spans="1:12" x14ac:dyDescent="0.3">
      <c r="A217" s="120"/>
      <c r="B217" s="282" t="s">
        <v>508</v>
      </c>
      <c r="C217" s="120" t="s">
        <v>3114</v>
      </c>
      <c r="D217" s="120" t="s">
        <v>3678</v>
      </c>
      <c r="E217" s="122">
        <v>20.797499999999999</v>
      </c>
      <c r="F217" s="122">
        <v>6.9325000000000001</v>
      </c>
      <c r="G217" s="122">
        <v>0</v>
      </c>
      <c r="H217" s="122">
        <v>0</v>
      </c>
      <c r="I217" s="122">
        <v>17.059999999999999</v>
      </c>
      <c r="J217" s="122">
        <v>44.79</v>
      </c>
      <c r="L217" s="374"/>
    </row>
    <row r="218" spans="1:12" x14ac:dyDescent="0.3">
      <c r="A218" s="120"/>
      <c r="B218" s="282" t="s">
        <v>544</v>
      </c>
      <c r="C218" s="120" t="s">
        <v>3115</v>
      </c>
      <c r="D218" s="120" t="s">
        <v>3679</v>
      </c>
      <c r="E218" s="122">
        <v>31.14</v>
      </c>
      <c r="F218" s="122">
        <v>10.38</v>
      </c>
      <c r="G218" s="122">
        <v>0</v>
      </c>
      <c r="H218" s="122">
        <v>0</v>
      </c>
      <c r="I218" s="122">
        <v>17.059999999999999</v>
      </c>
      <c r="J218" s="122">
        <v>58.58</v>
      </c>
      <c r="L218" s="374"/>
    </row>
    <row r="219" spans="1:12" x14ac:dyDescent="0.3">
      <c r="A219" s="120"/>
      <c r="B219" s="282" t="s">
        <v>514</v>
      </c>
      <c r="C219" s="120" t="s">
        <v>3116</v>
      </c>
      <c r="D219" s="120" t="s">
        <v>3680</v>
      </c>
      <c r="E219" s="122">
        <v>16.98</v>
      </c>
      <c r="F219" s="122">
        <v>5.66</v>
      </c>
      <c r="G219" s="122">
        <v>0</v>
      </c>
      <c r="H219" s="122">
        <v>0</v>
      </c>
      <c r="I219" s="122">
        <v>17.059999999999999</v>
      </c>
      <c r="J219" s="122">
        <v>39.700000000000003</v>
      </c>
      <c r="L219" s="374"/>
    </row>
    <row r="220" spans="1:12" x14ac:dyDescent="0.3">
      <c r="A220" s="120"/>
      <c r="B220" s="282" t="s">
        <v>552</v>
      </c>
      <c r="C220" s="120" t="s">
        <v>3117</v>
      </c>
      <c r="D220" s="120" t="s">
        <v>3681</v>
      </c>
      <c r="E220" s="122">
        <v>20.797499999999999</v>
      </c>
      <c r="F220" s="122">
        <v>6.9325000000000001</v>
      </c>
      <c r="G220" s="122">
        <v>0</v>
      </c>
      <c r="H220" s="122">
        <v>0</v>
      </c>
      <c r="I220" s="122">
        <v>17.059999999999999</v>
      </c>
      <c r="J220" s="122">
        <v>44.79</v>
      </c>
      <c r="L220" s="374"/>
    </row>
    <row r="221" spans="1:12" x14ac:dyDescent="0.3">
      <c r="A221" s="120"/>
      <c r="B221" s="282" t="s">
        <v>558</v>
      </c>
      <c r="C221" s="120" t="s">
        <v>3118</v>
      </c>
      <c r="D221" s="120" t="s">
        <v>3682</v>
      </c>
      <c r="E221" s="122">
        <v>31.14</v>
      </c>
      <c r="F221" s="122">
        <v>10.38</v>
      </c>
      <c r="G221" s="122">
        <v>0</v>
      </c>
      <c r="H221" s="122">
        <v>0</v>
      </c>
      <c r="I221" s="122">
        <v>17.059999999999999</v>
      </c>
      <c r="J221" s="122">
        <v>58.58</v>
      </c>
      <c r="L221" s="374"/>
    </row>
    <row r="222" spans="1:12" x14ac:dyDescent="0.3">
      <c r="A222" s="120"/>
      <c r="D222" s="120" t="s">
        <v>1164</v>
      </c>
      <c r="E222" s="122"/>
      <c r="L222" s="374"/>
    </row>
    <row r="223" spans="1:12" x14ac:dyDescent="0.3">
      <c r="A223" s="120"/>
      <c r="B223" s="282" t="s">
        <v>3607</v>
      </c>
      <c r="C223" s="120" t="s">
        <v>3608</v>
      </c>
      <c r="D223" s="120" t="s">
        <v>3683</v>
      </c>
      <c r="E223" s="122">
        <v>0</v>
      </c>
      <c r="F223" s="122">
        <v>0</v>
      </c>
      <c r="G223" s="122">
        <v>8.81</v>
      </c>
      <c r="H223" s="122">
        <v>0</v>
      </c>
      <c r="I223" s="122">
        <v>0</v>
      </c>
      <c r="J223" s="122">
        <v>8.81</v>
      </c>
      <c r="L223" s="374"/>
    </row>
    <row r="224" spans="1:12" x14ac:dyDescent="0.3">
      <c r="A224" s="120"/>
      <c r="D224" s="120" t="s">
        <v>1164</v>
      </c>
      <c r="E224" s="122"/>
      <c r="L224" s="374"/>
    </row>
    <row r="225" spans="1:12" x14ac:dyDescent="0.3">
      <c r="A225" s="120"/>
      <c r="B225" s="282" t="s">
        <v>3294</v>
      </c>
      <c r="C225" s="120" t="s">
        <v>3295</v>
      </c>
      <c r="D225" s="120" t="s">
        <v>3684</v>
      </c>
      <c r="E225" s="122">
        <v>1.6500000000000001</v>
      </c>
      <c r="F225" s="122">
        <v>0.55000000000000004</v>
      </c>
      <c r="G225" s="122">
        <v>0</v>
      </c>
      <c r="H225" s="122">
        <v>0</v>
      </c>
      <c r="I225" s="122">
        <v>0</v>
      </c>
      <c r="J225" s="122">
        <v>2.2000000000000002</v>
      </c>
      <c r="L225" s="374"/>
    </row>
    <row r="226" spans="1:12" x14ac:dyDescent="0.3">
      <c r="A226" s="120"/>
      <c r="B226" s="282" t="s">
        <v>3296</v>
      </c>
      <c r="C226" s="120" t="s">
        <v>3297</v>
      </c>
      <c r="D226" s="120" t="s">
        <v>3685</v>
      </c>
      <c r="E226" s="122">
        <v>2.2650000000000001</v>
      </c>
      <c r="F226" s="122">
        <v>0.755</v>
      </c>
      <c r="G226" s="122">
        <v>0</v>
      </c>
      <c r="H226" s="122">
        <v>0</v>
      </c>
      <c r="I226" s="122">
        <v>0</v>
      </c>
      <c r="J226" s="122">
        <v>3.02</v>
      </c>
      <c r="L226" s="374"/>
    </row>
    <row r="227" spans="1:12" x14ac:dyDescent="0.3">
      <c r="A227" s="120"/>
      <c r="B227" s="282" t="s">
        <v>3298</v>
      </c>
      <c r="C227" s="120" t="s">
        <v>3299</v>
      </c>
      <c r="D227" s="120" t="s">
        <v>3686</v>
      </c>
      <c r="E227" s="122">
        <v>2.2725</v>
      </c>
      <c r="F227" s="122">
        <v>0.75749999999999995</v>
      </c>
      <c r="G227" s="122">
        <v>0</v>
      </c>
      <c r="H227" s="122">
        <v>0</v>
      </c>
      <c r="I227" s="122">
        <v>0</v>
      </c>
      <c r="J227" s="122">
        <v>3.03</v>
      </c>
      <c r="L227" s="374"/>
    </row>
    <row r="228" spans="1:12" x14ac:dyDescent="0.3">
      <c r="A228" s="120"/>
      <c r="B228" s="282" t="s">
        <v>3300</v>
      </c>
      <c r="C228" s="120" t="s">
        <v>3301</v>
      </c>
      <c r="D228" s="120" t="s">
        <v>3687</v>
      </c>
      <c r="E228" s="122">
        <v>2.67</v>
      </c>
      <c r="F228" s="122">
        <v>0.89</v>
      </c>
      <c r="G228" s="122">
        <v>0</v>
      </c>
      <c r="H228" s="122">
        <v>0</v>
      </c>
      <c r="I228" s="122">
        <v>0</v>
      </c>
      <c r="J228" s="122">
        <v>3.56</v>
      </c>
      <c r="L228" s="374"/>
    </row>
    <row r="229" spans="1:12" x14ac:dyDescent="0.3">
      <c r="A229" s="120"/>
      <c r="B229" s="282" t="s">
        <v>3302</v>
      </c>
      <c r="C229" s="120" t="s">
        <v>3303</v>
      </c>
      <c r="D229" s="120" t="s">
        <v>3688</v>
      </c>
      <c r="E229" s="122">
        <v>3.1125000000000003</v>
      </c>
      <c r="F229" s="122">
        <v>1.0375000000000001</v>
      </c>
      <c r="G229" s="122">
        <v>0</v>
      </c>
      <c r="H229" s="122">
        <v>0</v>
      </c>
      <c r="I229" s="122">
        <v>0</v>
      </c>
      <c r="J229" s="122">
        <v>4.1500000000000004</v>
      </c>
      <c r="L229" s="374"/>
    </row>
    <row r="230" spans="1:12" x14ac:dyDescent="0.3">
      <c r="B230" s="282" t="s">
        <v>3304</v>
      </c>
      <c r="C230" s="120" t="s">
        <v>3305</v>
      </c>
      <c r="D230" s="120" t="s">
        <v>3689</v>
      </c>
      <c r="E230" s="122">
        <v>2.2050000000000001</v>
      </c>
      <c r="F230" s="122">
        <v>0.73499999999999999</v>
      </c>
      <c r="G230" s="122">
        <v>0</v>
      </c>
      <c r="H230" s="122">
        <v>0</v>
      </c>
      <c r="I230" s="122">
        <v>0</v>
      </c>
      <c r="J230" s="122">
        <v>2.94</v>
      </c>
      <c r="L230" s="374"/>
    </row>
    <row r="231" spans="1:12" x14ac:dyDescent="0.3">
      <c r="B231" s="282" t="s">
        <v>3306</v>
      </c>
      <c r="C231" s="120" t="s">
        <v>3307</v>
      </c>
      <c r="D231" s="120" t="s">
        <v>3690</v>
      </c>
      <c r="E231" s="122">
        <v>3.4050000000000002</v>
      </c>
      <c r="F231" s="122">
        <v>1.135</v>
      </c>
      <c r="G231" s="122">
        <v>0</v>
      </c>
      <c r="H231" s="122">
        <v>0</v>
      </c>
      <c r="I231" s="122">
        <v>0</v>
      </c>
      <c r="J231" s="122">
        <v>4.54</v>
      </c>
      <c r="L231" s="374"/>
    </row>
    <row r="232" spans="1:12" x14ac:dyDescent="0.3">
      <c r="B232" s="282" t="s">
        <v>3308</v>
      </c>
      <c r="C232" s="120" t="s">
        <v>3309</v>
      </c>
      <c r="D232" s="120" t="s">
        <v>3691</v>
      </c>
      <c r="E232" s="122">
        <v>2.0175000000000001</v>
      </c>
      <c r="F232" s="122">
        <v>0.67249999999999999</v>
      </c>
      <c r="G232" s="122">
        <v>0</v>
      </c>
      <c r="H232" s="122">
        <v>0</v>
      </c>
      <c r="I232" s="122">
        <v>0</v>
      </c>
      <c r="J232" s="122">
        <v>2.69</v>
      </c>
      <c r="L232" s="374"/>
    </row>
    <row r="233" spans="1:12" x14ac:dyDescent="0.3">
      <c r="B233" s="282" t="s">
        <v>3310</v>
      </c>
      <c r="C233" s="120" t="s">
        <v>3311</v>
      </c>
      <c r="D233" s="120" t="s">
        <v>3692</v>
      </c>
      <c r="E233" s="122">
        <v>2.6475</v>
      </c>
      <c r="F233" s="122">
        <v>0.88249999999999995</v>
      </c>
      <c r="G233" s="122">
        <v>0</v>
      </c>
      <c r="H233" s="122">
        <v>0</v>
      </c>
      <c r="I233" s="122">
        <v>0</v>
      </c>
      <c r="J233" s="122">
        <v>3.53</v>
      </c>
      <c r="L233" s="374"/>
    </row>
    <row r="234" spans="1:12" x14ac:dyDescent="0.3">
      <c r="B234" s="282" t="s">
        <v>3312</v>
      </c>
      <c r="C234" s="120" t="s">
        <v>3313</v>
      </c>
      <c r="D234" s="120" t="s">
        <v>3693</v>
      </c>
      <c r="E234" s="122">
        <v>2.6550000000000002</v>
      </c>
      <c r="F234" s="122">
        <v>0.88500000000000001</v>
      </c>
      <c r="G234" s="122">
        <v>0</v>
      </c>
      <c r="H234" s="122">
        <v>0</v>
      </c>
      <c r="I234" s="122">
        <v>0</v>
      </c>
      <c r="J234" s="122">
        <v>3.54</v>
      </c>
      <c r="L234" s="374"/>
    </row>
    <row r="235" spans="1:12" x14ac:dyDescent="0.3">
      <c r="B235" s="282" t="s">
        <v>3314</v>
      </c>
      <c r="C235" s="120" t="s">
        <v>3315</v>
      </c>
      <c r="D235" s="120" t="s">
        <v>3694</v>
      </c>
      <c r="E235" s="122">
        <v>3.1574999999999998</v>
      </c>
      <c r="F235" s="122">
        <v>1.0525</v>
      </c>
      <c r="G235" s="122">
        <v>0</v>
      </c>
      <c r="H235" s="122">
        <v>0</v>
      </c>
      <c r="I235" s="122">
        <v>0</v>
      </c>
      <c r="J235" s="122">
        <v>4.21</v>
      </c>
      <c r="L235" s="374"/>
    </row>
    <row r="236" spans="1:12" x14ac:dyDescent="0.3">
      <c r="B236" s="282" t="s">
        <v>3316</v>
      </c>
      <c r="C236" s="120" t="s">
        <v>3317</v>
      </c>
      <c r="D236" s="120" t="s">
        <v>3695</v>
      </c>
      <c r="E236" s="122">
        <v>3.6074999999999999</v>
      </c>
      <c r="F236" s="122">
        <v>1.2024999999999999</v>
      </c>
      <c r="G236" s="122">
        <v>0</v>
      </c>
      <c r="H236" s="122">
        <v>0</v>
      </c>
      <c r="I236" s="122">
        <v>0</v>
      </c>
      <c r="J236" s="122">
        <v>4.8099999999999996</v>
      </c>
      <c r="L236" s="374"/>
    </row>
    <row r="237" spans="1:12" x14ac:dyDescent="0.3">
      <c r="B237" s="282" t="s">
        <v>3318</v>
      </c>
      <c r="C237" s="120" t="s">
        <v>3319</v>
      </c>
      <c r="D237" s="120" t="s">
        <v>3696</v>
      </c>
      <c r="E237" s="122">
        <v>3.1500000000000004</v>
      </c>
      <c r="F237" s="122">
        <v>1.05</v>
      </c>
      <c r="G237" s="122">
        <v>0</v>
      </c>
      <c r="H237" s="122">
        <v>0</v>
      </c>
      <c r="I237" s="122">
        <v>0</v>
      </c>
      <c r="J237" s="122">
        <v>4.2</v>
      </c>
      <c r="L237" s="374"/>
    </row>
    <row r="238" spans="1:12" x14ac:dyDescent="0.3">
      <c r="B238" s="282" t="s">
        <v>3320</v>
      </c>
      <c r="C238" s="120" t="s">
        <v>3321</v>
      </c>
      <c r="D238" s="120" t="s">
        <v>3697</v>
      </c>
      <c r="E238" s="122">
        <v>3.9000000000000004</v>
      </c>
      <c r="F238" s="122">
        <v>1.3</v>
      </c>
      <c r="G238" s="122">
        <v>0</v>
      </c>
      <c r="H238" s="122">
        <v>0</v>
      </c>
      <c r="I238" s="122">
        <v>0</v>
      </c>
      <c r="J238" s="122">
        <v>5.2</v>
      </c>
      <c r="L238" s="374"/>
    </row>
    <row r="239" spans="1:12" x14ac:dyDescent="0.3">
      <c r="D239" s="120" t="s">
        <v>1164</v>
      </c>
    </row>
    <row r="240" spans="1:12" x14ac:dyDescent="0.3">
      <c r="D240" s="120" t="s">
        <v>1164</v>
      </c>
    </row>
    <row r="241" spans="1:10" x14ac:dyDescent="0.3">
      <c r="A241" s="121" t="s">
        <v>3609</v>
      </c>
      <c r="D241" s="120" t="s">
        <v>1164</v>
      </c>
    </row>
    <row r="242" spans="1:10" x14ac:dyDescent="0.3">
      <c r="B242" s="282" t="s">
        <v>3593</v>
      </c>
      <c r="C242" s="120" t="s">
        <v>3547</v>
      </c>
      <c r="D242" s="120" t="s">
        <v>3639</v>
      </c>
    </row>
    <row r="243" spans="1:10" x14ac:dyDescent="0.3">
      <c r="B243" s="282" t="s">
        <v>3594</v>
      </c>
      <c r="C243" s="120" t="s">
        <v>3549</v>
      </c>
      <c r="D243" s="120" t="s">
        <v>3640</v>
      </c>
    </row>
    <row r="244" spans="1:10" x14ac:dyDescent="0.3">
      <c r="B244" s="282" t="s">
        <v>3595</v>
      </c>
      <c r="C244" s="120" t="s">
        <v>3551</v>
      </c>
      <c r="D244" s="120" t="s">
        <v>3641</v>
      </c>
    </row>
    <row r="245" spans="1:10" x14ac:dyDescent="0.3">
      <c r="B245" s="282" t="s">
        <v>3596</v>
      </c>
      <c r="C245" s="120" t="s">
        <v>3553</v>
      </c>
      <c r="D245" s="120" t="s">
        <v>3642</v>
      </c>
    </row>
    <row r="246" spans="1:10" x14ac:dyDescent="0.3">
      <c r="B246" s="282" t="s">
        <v>3597</v>
      </c>
      <c r="C246" s="120" t="s">
        <v>3555</v>
      </c>
      <c r="D246" s="120" t="s">
        <v>3643</v>
      </c>
    </row>
    <row r="247" spans="1:10" x14ac:dyDescent="0.3">
      <c r="B247" s="282" t="s">
        <v>3598</v>
      </c>
      <c r="C247" s="120" t="s">
        <v>3547</v>
      </c>
      <c r="D247" s="120" t="s">
        <v>3644</v>
      </c>
    </row>
    <row r="248" spans="1:10" x14ac:dyDescent="0.3">
      <c r="B248" s="282" t="s">
        <v>3599</v>
      </c>
      <c r="C248" s="120" t="s">
        <v>3549</v>
      </c>
      <c r="D248" s="120" t="s">
        <v>3645</v>
      </c>
    </row>
    <row r="249" spans="1:10" x14ac:dyDescent="0.3">
      <c r="B249" s="282" t="s">
        <v>3600</v>
      </c>
      <c r="C249" s="120" t="s">
        <v>3551</v>
      </c>
      <c r="D249" s="120" t="s">
        <v>3646</v>
      </c>
    </row>
    <row r="250" spans="1:10" x14ac:dyDescent="0.3">
      <c r="B250" s="282" t="s">
        <v>3601</v>
      </c>
      <c r="C250" s="120" t="s">
        <v>3553</v>
      </c>
      <c r="D250" s="120" t="s">
        <v>3647</v>
      </c>
    </row>
    <row r="251" spans="1:10" x14ac:dyDescent="0.3">
      <c r="B251" s="282" t="s">
        <v>3602</v>
      </c>
      <c r="C251" s="120" t="s">
        <v>3555</v>
      </c>
      <c r="D251" s="120" t="s">
        <v>3648</v>
      </c>
    </row>
    <row r="252" spans="1:10" x14ac:dyDescent="0.3">
      <c r="D252" s="120" t="s">
        <v>1164</v>
      </c>
    </row>
    <row r="253" spans="1:10" s="104" customFormat="1" x14ac:dyDescent="0.3">
      <c r="A253" s="121" t="s">
        <v>3610</v>
      </c>
      <c r="B253" s="427"/>
      <c r="D253" s="120" t="s">
        <v>1164</v>
      </c>
      <c r="F253" s="428"/>
      <c r="G253" s="428"/>
      <c r="H253" s="428"/>
      <c r="I253" s="428"/>
      <c r="J253" s="428"/>
    </row>
    <row r="254" spans="1:10" x14ac:dyDescent="0.3">
      <c r="B254" s="282" t="s">
        <v>2495</v>
      </c>
      <c r="C254" s="120" t="s">
        <v>1952</v>
      </c>
      <c r="D254" s="120" t="s">
        <v>3698</v>
      </c>
    </row>
    <row r="255" spans="1:10" x14ac:dyDescent="0.3">
      <c r="B255" s="282" t="s">
        <v>2496</v>
      </c>
      <c r="C255" s="120" t="s">
        <v>2064</v>
      </c>
      <c r="D255" s="120" t="s">
        <v>3699</v>
      </c>
    </row>
    <row r="256" spans="1:10" x14ac:dyDescent="0.3">
      <c r="B256" s="282" t="s">
        <v>2497</v>
      </c>
      <c r="C256" s="120" t="s">
        <v>1955</v>
      </c>
      <c r="D256" s="120" t="s">
        <v>3700</v>
      </c>
    </row>
    <row r="257" spans="2:10" x14ac:dyDescent="0.3">
      <c r="B257" s="282" t="s">
        <v>446</v>
      </c>
      <c r="C257" s="120" t="s">
        <v>1952</v>
      </c>
      <c r="D257" s="120" t="s">
        <v>1687</v>
      </c>
    </row>
    <row r="258" spans="2:10" x14ac:dyDescent="0.3">
      <c r="B258" s="282" t="s">
        <v>453</v>
      </c>
      <c r="C258" s="120" t="s">
        <v>2064</v>
      </c>
      <c r="D258" s="120" t="s">
        <v>1772</v>
      </c>
    </row>
    <row r="259" spans="2:10" x14ac:dyDescent="0.3">
      <c r="B259" s="282" t="s">
        <v>443</v>
      </c>
      <c r="C259" s="120" t="s">
        <v>1955</v>
      </c>
      <c r="D259" s="120" t="s">
        <v>1688</v>
      </c>
    </row>
    <row r="262" spans="2:10" x14ac:dyDescent="0.3">
      <c r="B262" s="282" t="s">
        <v>1778</v>
      </c>
      <c r="C262" s="448" t="s">
        <v>3611</v>
      </c>
      <c r="D262" s="448"/>
      <c r="E262" s="448"/>
      <c r="F262" s="448"/>
      <c r="G262" s="448"/>
      <c r="H262" s="448"/>
      <c r="I262" s="448"/>
      <c r="J262" s="448"/>
    </row>
    <row r="264" spans="2:10" x14ac:dyDescent="0.3">
      <c r="B264" s="282" t="s">
        <v>3605</v>
      </c>
      <c r="C264" s="120" t="s">
        <v>3612</v>
      </c>
    </row>
    <row r="277" spans="1:10" x14ac:dyDescent="0.3">
      <c r="A277" s="120"/>
      <c r="B277" s="132"/>
      <c r="F277" s="120"/>
      <c r="G277" s="120"/>
      <c r="H277" s="120"/>
      <c r="I277" s="120"/>
      <c r="J277" s="120"/>
    </row>
  </sheetData>
  <sheetProtection algorithmName="SHA-512" hashValue="EA/WvPUa+qEFH8njqY8YLb6DOhvAK+ja69R3Xf9LT7as6aEuRwVMh7pb1MDvs9bsxlmWlmYR0v9Lj6a6+UVy8g==" saltValue="Qup1BPrm3G/g+KPqxCkT3Q==" spinCount="100000" sheet="1" objects="1" scenarios="1"/>
  <mergeCells count="1">
    <mergeCell ref="C262:J26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1"/>
  <dimension ref="A1:H496"/>
  <sheetViews>
    <sheetView topLeftCell="A13" workbookViewId="0">
      <selection activeCell="D35" sqref="D35"/>
    </sheetView>
  </sheetViews>
  <sheetFormatPr defaultRowHeight="18" x14ac:dyDescent="0.35"/>
  <cols>
    <col min="1" max="1" width="27.33203125" style="167" customWidth="1"/>
    <col min="2" max="2" width="17.33203125" bestFit="1" customWidth="1"/>
    <col min="3" max="3" width="10" bestFit="1" customWidth="1"/>
    <col min="4" max="4" width="18.109375" bestFit="1" customWidth="1"/>
    <col min="6" max="6" width="10" style="120" hidden="1" customWidth="1"/>
  </cols>
  <sheetData>
    <row r="1" spans="1:8" s="120" customFormat="1" ht="18.75" x14ac:dyDescent="0.3">
      <c r="A1" s="432" t="s">
        <v>3616</v>
      </c>
      <c r="B1" s="120" t="s">
        <v>3614</v>
      </c>
      <c r="C1" s="120" t="s">
        <v>1618</v>
      </c>
      <c r="D1" s="120" t="s">
        <v>3615</v>
      </c>
      <c r="E1" s="120" t="s">
        <v>1618</v>
      </c>
      <c r="G1" s="120" t="s">
        <v>2757</v>
      </c>
      <c r="H1" s="419" t="s">
        <v>3520</v>
      </c>
    </row>
    <row r="2" spans="1:8" ht="18.75" x14ac:dyDescent="0.3">
      <c r="A2" s="212" t="s">
        <v>1214</v>
      </c>
      <c r="B2" s="282" t="s">
        <v>245</v>
      </c>
      <c r="C2" s="35">
        <f>VLOOKUP(B2,'Tarieven VPT'!$B$6:$I$178,8,FALSE)</f>
        <v>70.866497876749449</v>
      </c>
      <c r="D2" s="282" t="s">
        <v>1244</v>
      </c>
      <c r="E2" s="35">
        <f>IFERROR(VLOOKUP(D2,'Tarieven VPT'!$B$6:$I$178,8,FALSE),0)</f>
        <v>0</v>
      </c>
      <c r="F2" s="35">
        <f>E2-C2</f>
        <v>-70.866497876749449</v>
      </c>
      <c r="G2" s="35">
        <f>IF(F2&gt;0,F2,0)</f>
        <v>0</v>
      </c>
      <c r="H2" s="431">
        <f>G2*7</f>
        <v>0</v>
      </c>
    </row>
    <row r="3" spans="1:8" ht="18.75" x14ac:dyDescent="0.3">
      <c r="A3" s="212" t="s">
        <v>1215</v>
      </c>
      <c r="B3" s="282" t="s">
        <v>136</v>
      </c>
      <c r="C3" s="35">
        <f>VLOOKUP(B3,'Tarieven VPT'!B7:I179,8,FALSE)</f>
        <v>93.847296149839138</v>
      </c>
      <c r="D3" s="282" t="s">
        <v>1244</v>
      </c>
      <c r="E3" s="35">
        <f>IFERROR(VLOOKUP(D3,'Tarieven VPT'!$B$6:$I$178,8,FALSE),0)</f>
        <v>0</v>
      </c>
      <c r="F3" s="35">
        <f t="shared" ref="F3:F41" si="0">E3-C3</f>
        <v>-93.847296149839138</v>
      </c>
      <c r="G3" s="35">
        <f t="shared" ref="G3:G41" si="1">IF(F3&gt;0,F3,0)</f>
        <v>0</v>
      </c>
      <c r="H3" s="431">
        <f t="shared" ref="H3:H41" si="2">G3*7</f>
        <v>0</v>
      </c>
    </row>
    <row r="4" spans="1:8" ht="18.75" x14ac:dyDescent="0.3">
      <c r="A4" s="212" t="s">
        <v>1216</v>
      </c>
      <c r="B4" s="282" t="s">
        <v>210</v>
      </c>
      <c r="C4" s="35">
        <f>VLOOKUP(B4,'Tarieven VPT'!B8:I180,8,FALSE)</f>
        <v>124.28669379408338</v>
      </c>
      <c r="D4" s="282" t="s">
        <v>291</v>
      </c>
      <c r="E4" s="35">
        <f>IFERROR(VLOOKUP(D4,'Tarieven VPT'!$B$6:$I$178,8,FALSE),0)</f>
        <v>146.31395433561758</v>
      </c>
      <c r="F4" s="35">
        <f t="shared" si="0"/>
        <v>22.027260541534204</v>
      </c>
      <c r="G4" s="35">
        <f t="shared" si="1"/>
        <v>22.027260541534204</v>
      </c>
      <c r="H4" s="431">
        <f t="shared" si="2"/>
        <v>154.19082379073944</v>
      </c>
    </row>
    <row r="5" spans="1:8" ht="18.75" x14ac:dyDescent="0.3">
      <c r="A5" s="212" t="s">
        <v>1217</v>
      </c>
      <c r="B5" s="282" t="s">
        <v>54</v>
      </c>
      <c r="C5" s="35">
        <f>VLOOKUP(B5,'Tarieven VPT'!B9:I181,8,FALSE)</f>
        <v>133.83000000000001</v>
      </c>
      <c r="D5" s="282" t="s">
        <v>167</v>
      </c>
      <c r="E5" s="35">
        <f>IFERROR(VLOOKUP(D5,'Tarieven VPT'!$B$6:$I$178,8,FALSE),0)</f>
        <v>156.45000000000002</v>
      </c>
      <c r="F5" s="35">
        <f t="shared" si="0"/>
        <v>22.620000000000005</v>
      </c>
      <c r="G5" s="35">
        <f t="shared" si="1"/>
        <v>22.620000000000005</v>
      </c>
      <c r="H5" s="431">
        <f t="shared" si="2"/>
        <v>158.34000000000003</v>
      </c>
    </row>
    <row r="6" spans="1:8" ht="18.75" x14ac:dyDescent="0.3">
      <c r="A6" s="212" t="s">
        <v>1218</v>
      </c>
      <c r="B6" s="282" t="s">
        <v>107</v>
      </c>
      <c r="C6" s="35">
        <f>VLOOKUP(B6,'Tarieven VPT'!B10:I182,8,FALSE)</f>
        <v>184.07999999999998</v>
      </c>
      <c r="D6" s="282" t="s">
        <v>378</v>
      </c>
      <c r="E6" s="35">
        <f>IFERROR(VLOOKUP(D6,'Tarieven VPT'!$B$6:$I$178,8,FALSE),0)</f>
        <v>208.48</v>
      </c>
      <c r="F6" s="35">
        <f t="shared" si="0"/>
        <v>24.400000000000006</v>
      </c>
      <c r="G6" s="35">
        <f t="shared" si="1"/>
        <v>24.400000000000006</v>
      </c>
      <c r="H6" s="431">
        <f t="shared" si="2"/>
        <v>170.80000000000004</v>
      </c>
    </row>
    <row r="7" spans="1:8" ht="18.75" x14ac:dyDescent="0.3">
      <c r="A7" s="212" t="s">
        <v>1219</v>
      </c>
      <c r="B7" s="282" t="s">
        <v>263</v>
      </c>
      <c r="C7" s="35">
        <f>VLOOKUP(B7,'Tarieven VPT'!B11:I183,8,FALSE)</f>
        <v>184.44</v>
      </c>
      <c r="D7" s="282" t="s">
        <v>340</v>
      </c>
      <c r="E7" s="35">
        <f>IFERROR(VLOOKUP(D7,'Tarieven VPT'!$B$6:$I$178,8,FALSE),0)</f>
        <v>208.83</v>
      </c>
      <c r="F7" s="35">
        <f t="shared" si="0"/>
        <v>24.390000000000015</v>
      </c>
      <c r="G7" s="35">
        <f t="shared" si="1"/>
        <v>24.390000000000015</v>
      </c>
      <c r="H7" s="431">
        <f t="shared" si="2"/>
        <v>170.7300000000001</v>
      </c>
    </row>
    <row r="8" spans="1:8" ht="18.75" x14ac:dyDescent="0.3">
      <c r="A8" s="212" t="s">
        <v>1220</v>
      </c>
      <c r="B8" s="282" t="s">
        <v>386</v>
      </c>
      <c r="C8" s="35">
        <f>VLOOKUP(B8,'Tarieven VPT'!B12:I184,8,FALSE)</f>
        <v>215.67</v>
      </c>
      <c r="D8" s="282" t="s">
        <v>268</v>
      </c>
      <c r="E8" s="35">
        <f>IFERROR(VLOOKUP(D8,'Tarieven VPT'!$B$6:$I$178,8,FALSE),0)</f>
        <v>248.6</v>
      </c>
      <c r="F8" s="35">
        <f t="shared" si="0"/>
        <v>32.930000000000007</v>
      </c>
      <c r="G8" s="35">
        <f t="shared" si="1"/>
        <v>32.930000000000007</v>
      </c>
      <c r="H8" s="431">
        <f t="shared" si="2"/>
        <v>230.51000000000005</v>
      </c>
    </row>
    <row r="9" spans="1:8" ht="18.75" x14ac:dyDescent="0.3">
      <c r="A9" s="212" t="s">
        <v>1221</v>
      </c>
      <c r="B9" s="282" t="s">
        <v>306</v>
      </c>
      <c r="C9" s="35">
        <f>VLOOKUP(B9,'Tarieven VPT'!B13:I185,8,FALSE)</f>
        <v>249.59</v>
      </c>
      <c r="D9" s="282" t="s">
        <v>197</v>
      </c>
      <c r="E9" s="35">
        <f>IFERROR(VLOOKUP(D9,'Tarieven VPT'!$B$6:$I$178,8,FALSE),0)</f>
        <v>282.45</v>
      </c>
      <c r="F9" s="35">
        <f t="shared" si="0"/>
        <v>32.859999999999985</v>
      </c>
      <c r="G9" s="35">
        <f t="shared" si="1"/>
        <v>32.859999999999985</v>
      </c>
      <c r="H9" s="431">
        <f t="shared" si="2"/>
        <v>230.0199999999999</v>
      </c>
    </row>
    <row r="10" spans="1:8" ht="18.75" x14ac:dyDescent="0.3">
      <c r="A10" s="212" t="s">
        <v>1222</v>
      </c>
      <c r="B10" s="282" t="s">
        <v>574</v>
      </c>
      <c r="C10" s="35">
        <f>VLOOKUP(B10,'Tarieven VPT'!B14:I186,8,FALSE)</f>
        <v>178.74999999999997</v>
      </c>
      <c r="D10" s="282" t="s">
        <v>576</v>
      </c>
      <c r="E10" s="35">
        <f>IFERROR(VLOOKUP(D10,'Tarieven VPT'!$B$6:$I$178,8,FALSE),0)</f>
        <v>245.85</v>
      </c>
      <c r="F10" s="35">
        <f t="shared" si="0"/>
        <v>67.100000000000023</v>
      </c>
      <c r="G10" s="35">
        <f t="shared" si="1"/>
        <v>67.100000000000023</v>
      </c>
      <c r="H10" s="431">
        <f t="shared" si="2"/>
        <v>469.70000000000016</v>
      </c>
    </row>
    <row r="11" spans="1:8" ht="18.75" x14ac:dyDescent="0.3">
      <c r="A11" s="212" t="s">
        <v>1223</v>
      </c>
      <c r="B11" s="282" t="s">
        <v>93</v>
      </c>
      <c r="C11" s="35">
        <f>VLOOKUP(B11,'Tarieven VPT'!B15:I187,8,FALSE)</f>
        <v>272.34999999999997</v>
      </c>
      <c r="D11" s="282" t="s">
        <v>188</v>
      </c>
      <c r="E11" s="35">
        <f>IFERROR(VLOOKUP(D11,'Tarieven VPT'!$B$6:$I$178,8,FALSE),0)</f>
        <v>305.32</v>
      </c>
      <c r="F11" s="35">
        <f t="shared" si="0"/>
        <v>32.970000000000027</v>
      </c>
      <c r="G11" s="35">
        <f t="shared" si="1"/>
        <v>32.970000000000027</v>
      </c>
      <c r="H11" s="431">
        <f t="shared" si="2"/>
        <v>230.79000000000019</v>
      </c>
    </row>
    <row r="12" spans="1:8" ht="18.75" x14ac:dyDescent="0.3">
      <c r="A12" s="212" t="s">
        <v>1230</v>
      </c>
      <c r="B12" s="282" t="s">
        <v>158</v>
      </c>
      <c r="C12" s="35">
        <f>VLOOKUP(B12,'Tarieven VPT'!B16:I188,8,FALSE)</f>
        <v>55.068190648887601</v>
      </c>
      <c r="D12" s="282" t="s">
        <v>1244</v>
      </c>
      <c r="E12" s="35">
        <f>IFERROR(VLOOKUP(D12,'Tarieven VPT'!$B$6:$I$178,8,FALSE),0)</f>
        <v>0</v>
      </c>
      <c r="F12" s="35">
        <f t="shared" si="0"/>
        <v>-55.068190648887601</v>
      </c>
      <c r="G12" s="35">
        <f t="shared" si="1"/>
        <v>0</v>
      </c>
      <c r="H12" s="431">
        <f t="shared" si="2"/>
        <v>0</v>
      </c>
    </row>
    <row r="13" spans="1:8" ht="18.75" x14ac:dyDescent="0.3">
      <c r="A13" s="212" t="s">
        <v>1231</v>
      </c>
      <c r="B13" s="282" t="s">
        <v>252</v>
      </c>
      <c r="C13" s="35">
        <f>VLOOKUP(B13,'Tarieven VPT'!B17:I189,8,FALSE)</f>
        <v>67.60618872459284</v>
      </c>
      <c r="D13" s="282" t="s">
        <v>1244</v>
      </c>
      <c r="E13" s="35">
        <f>IFERROR(VLOOKUP(D13,'Tarieven VPT'!$B$6:$I$178,8,FALSE),0)</f>
        <v>0</v>
      </c>
      <c r="F13" s="35">
        <f t="shared" si="0"/>
        <v>-67.60618872459284</v>
      </c>
      <c r="G13" s="35">
        <f t="shared" si="1"/>
        <v>0</v>
      </c>
      <c r="H13" s="431">
        <f t="shared" si="2"/>
        <v>0</v>
      </c>
    </row>
    <row r="14" spans="1:8" ht="18.75" x14ac:dyDescent="0.3">
      <c r="A14" s="212" t="s">
        <v>1232</v>
      </c>
      <c r="B14" s="282" t="s">
        <v>220</v>
      </c>
      <c r="C14" s="35">
        <f>VLOOKUP(B14,'Tarieven VPT'!B18:I190,8,FALSE)</f>
        <v>93.287151444190116</v>
      </c>
      <c r="D14" s="282" t="s">
        <v>235</v>
      </c>
      <c r="E14" s="35">
        <f>IFERROR(VLOOKUP(D14,'Tarieven VPT'!$B$6:$I$178,8,FALSE),0)</f>
        <v>115.46805264508852</v>
      </c>
      <c r="F14" s="35">
        <f t="shared" si="0"/>
        <v>22.180901200898404</v>
      </c>
      <c r="G14" s="35">
        <f t="shared" si="1"/>
        <v>22.180901200898404</v>
      </c>
      <c r="H14" s="431">
        <f t="shared" si="2"/>
        <v>155.26630840628883</v>
      </c>
    </row>
    <row r="15" spans="1:8" ht="18.75" x14ac:dyDescent="0.3">
      <c r="A15" s="212" t="s">
        <v>1233</v>
      </c>
      <c r="B15" s="282" t="s">
        <v>275</v>
      </c>
      <c r="C15" s="35">
        <f>VLOOKUP(B15,'Tarieven VPT'!B19:I191,8,FALSE)</f>
        <v>114.18009999028516</v>
      </c>
      <c r="D15" s="282" t="s">
        <v>318</v>
      </c>
      <c r="E15" s="35">
        <f>IFERROR(VLOOKUP(D15,'Tarieven VPT'!$B$6:$I$178,8,FALSE),0)</f>
        <v>152.13073370320529</v>
      </c>
      <c r="F15" s="35">
        <f t="shared" si="0"/>
        <v>37.950633712920137</v>
      </c>
      <c r="G15" s="35">
        <f t="shared" si="1"/>
        <v>37.950633712920137</v>
      </c>
      <c r="H15" s="431">
        <f t="shared" si="2"/>
        <v>265.65443599044096</v>
      </c>
    </row>
    <row r="16" spans="1:8" ht="18.75" x14ac:dyDescent="0.3">
      <c r="A16" s="212" t="s">
        <v>1234</v>
      </c>
      <c r="B16" s="282" t="s">
        <v>288</v>
      </c>
      <c r="C16" s="35">
        <f>VLOOKUP(B16,'Tarieven VPT'!B20:I192,8,FALSE)</f>
        <v>152.73167493660105</v>
      </c>
      <c r="D16" s="282" t="s">
        <v>202</v>
      </c>
      <c r="E16" s="35">
        <f>IFERROR(VLOOKUP(D16,'Tarieven VPT'!$B$6:$I$178,8,FALSE),0)</f>
        <v>184.47737520901404</v>
      </c>
      <c r="F16" s="35">
        <f t="shared" si="0"/>
        <v>31.745700272412989</v>
      </c>
      <c r="G16" s="35">
        <f t="shared" si="1"/>
        <v>31.745700272412989</v>
      </c>
      <c r="H16" s="431">
        <f t="shared" si="2"/>
        <v>222.21990190689093</v>
      </c>
    </row>
    <row r="17" spans="1:8" ht="18.75" x14ac:dyDescent="0.3">
      <c r="A17" s="212" t="s">
        <v>1235</v>
      </c>
      <c r="B17" s="282" t="s">
        <v>310</v>
      </c>
      <c r="C17" s="35">
        <f>VLOOKUP(B17,'Tarieven VPT'!B21:I193,8,FALSE)</f>
        <v>119.0066787459839</v>
      </c>
      <c r="D17" s="282" t="s">
        <v>64</v>
      </c>
      <c r="E17" s="35">
        <f>IFERROR(VLOOKUP(D17,'Tarieven VPT'!$B$6:$I$178,8,FALSE),0)</f>
        <v>161.16430097526481</v>
      </c>
      <c r="F17" s="35">
        <f t="shared" si="0"/>
        <v>42.157622229280904</v>
      </c>
      <c r="G17" s="35">
        <f t="shared" si="1"/>
        <v>42.157622229280904</v>
      </c>
      <c r="H17" s="431">
        <f t="shared" si="2"/>
        <v>295.10335560496634</v>
      </c>
    </row>
    <row r="18" spans="1:8" ht="18.75" x14ac:dyDescent="0.3">
      <c r="A18" s="212" t="s">
        <v>1236</v>
      </c>
      <c r="B18" s="282" t="s">
        <v>147</v>
      </c>
      <c r="C18" s="35">
        <f>VLOOKUP(B18,'Tarieven VPT'!B22:I194,8,FALSE)</f>
        <v>165.86764084009522</v>
      </c>
      <c r="D18" s="282" t="s">
        <v>329</v>
      </c>
      <c r="E18" s="35">
        <f>IFERROR(VLOOKUP(D18,'Tarieven VPT'!$B$6:$I$178,8,FALSE),0)</f>
        <v>239.27611006464548</v>
      </c>
      <c r="F18" s="35">
        <f t="shared" si="0"/>
        <v>73.408469224550259</v>
      </c>
      <c r="G18" s="35">
        <f t="shared" si="1"/>
        <v>73.408469224550259</v>
      </c>
      <c r="H18" s="431">
        <f t="shared" si="2"/>
        <v>513.85928457185184</v>
      </c>
    </row>
    <row r="19" spans="1:8" ht="18.75" x14ac:dyDescent="0.3">
      <c r="A19" s="212" t="s">
        <v>1237</v>
      </c>
      <c r="B19" s="282" t="s">
        <v>373</v>
      </c>
      <c r="C19" s="35">
        <f>VLOOKUP(B19,'Tarieven VPT'!B23:I195,8,FALSE)</f>
        <v>179.99244424591183</v>
      </c>
      <c r="D19" s="282" t="s">
        <v>282</v>
      </c>
      <c r="E19" s="35">
        <f>IFERROR(VLOOKUP(D19,'Tarieven VPT'!$B$6:$I$178,8,FALSE),0)</f>
        <v>223.72966023292321</v>
      </c>
      <c r="F19" s="35">
        <f t="shared" si="0"/>
        <v>43.737215987011382</v>
      </c>
      <c r="G19" s="35">
        <f t="shared" si="1"/>
        <v>43.737215987011382</v>
      </c>
      <c r="H19" s="431">
        <f t="shared" si="2"/>
        <v>306.16051190907967</v>
      </c>
    </row>
    <row r="20" spans="1:8" ht="18.75" x14ac:dyDescent="0.3">
      <c r="A20" s="212" t="s">
        <v>1238</v>
      </c>
      <c r="B20" s="282" t="s">
        <v>126</v>
      </c>
      <c r="C20" s="35">
        <f>VLOOKUP(B20,'Tarieven VPT'!B24:I196,8,FALSE)</f>
        <v>181.71156252222264</v>
      </c>
      <c r="D20" s="282" t="s">
        <v>126</v>
      </c>
      <c r="E20" s="35">
        <f>IFERROR(VLOOKUP(D20,'Tarieven VPT'!$B$6:$I$178,8,FALSE),0)</f>
        <v>181.71156252222264</v>
      </c>
      <c r="F20" s="35">
        <f t="shared" si="0"/>
        <v>0</v>
      </c>
      <c r="G20" s="35">
        <f t="shared" si="1"/>
        <v>0</v>
      </c>
      <c r="H20" s="431">
        <f t="shared" si="2"/>
        <v>0</v>
      </c>
    </row>
    <row r="21" spans="1:8" ht="18.75" x14ac:dyDescent="0.3">
      <c r="A21" s="212" t="s">
        <v>1239</v>
      </c>
      <c r="B21" s="282" t="s">
        <v>257</v>
      </c>
      <c r="C21" s="35">
        <f>VLOOKUP(B21,'Tarieven VPT'!B25:I197,8,FALSE)</f>
        <v>223.02982540497803</v>
      </c>
      <c r="D21" s="282" t="s">
        <v>257</v>
      </c>
      <c r="E21" s="35">
        <f>IFERROR(VLOOKUP(D21,'Tarieven VPT'!$B$6:$I$178,8,FALSE),0)</f>
        <v>223.02982540497803</v>
      </c>
      <c r="F21" s="35">
        <f t="shared" si="0"/>
        <v>0</v>
      </c>
      <c r="G21" s="35">
        <f t="shared" si="1"/>
        <v>0</v>
      </c>
      <c r="H21" s="431">
        <f t="shared" si="2"/>
        <v>0</v>
      </c>
    </row>
    <row r="22" spans="1:8" ht="18.75" x14ac:dyDescent="0.3">
      <c r="A22" s="212" t="s">
        <v>1240</v>
      </c>
      <c r="B22" s="282" t="s">
        <v>272</v>
      </c>
      <c r="C22" s="35">
        <f>VLOOKUP(B22,'Tarieven VPT'!B26:I198,8,FALSE)</f>
        <v>288.0679873296308</v>
      </c>
      <c r="D22" s="282" t="s">
        <v>272</v>
      </c>
      <c r="E22" s="35">
        <f>IFERROR(VLOOKUP(D22,'Tarieven VPT'!$B$6:$I$178,8,FALSE),0)</f>
        <v>288.0679873296308</v>
      </c>
      <c r="F22" s="35">
        <f t="shared" si="0"/>
        <v>0</v>
      </c>
      <c r="G22" s="35">
        <f t="shared" si="1"/>
        <v>0</v>
      </c>
      <c r="H22" s="431">
        <f t="shared" si="2"/>
        <v>0</v>
      </c>
    </row>
    <row r="23" spans="1:8" ht="18.75" x14ac:dyDescent="0.3">
      <c r="A23" s="212" t="s">
        <v>1241</v>
      </c>
      <c r="B23" s="282" t="s">
        <v>241</v>
      </c>
      <c r="C23" s="35">
        <f>VLOOKUP(B23,'Tarieven VPT'!B27:I199,8,FALSE)</f>
        <v>336.20734898974183</v>
      </c>
      <c r="D23" s="282" t="s">
        <v>241</v>
      </c>
      <c r="E23" s="35">
        <f>IFERROR(VLOOKUP(D23,'Tarieven VPT'!$B$6:$I$178,8,FALSE),0)</f>
        <v>336.20734898974183</v>
      </c>
      <c r="F23" s="35">
        <f t="shared" si="0"/>
        <v>0</v>
      </c>
      <c r="G23" s="35">
        <f t="shared" si="1"/>
        <v>0</v>
      </c>
      <c r="H23" s="431">
        <f t="shared" si="2"/>
        <v>0</v>
      </c>
    </row>
    <row r="24" spans="1:8" ht="18.75" x14ac:dyDescent="0.3">
      <c r="A24" s="212" t="s">
        <v>1242</v>
      </c>
      <c r="B24" s="282" t="s">
        <v>206</v>
      </c>
      <c r="C24" s="35">
        <f>VLOOKUP(B24,'Tarieven VPT'!B28:I200,8,FALSE)</f>
        <v>318.4879602792123</v>
      </c>
      <c r="D24" s="282" t="s">
        <v>206</v>
      </c>
      <c r="E24" s="35">
        <f>IFERROR(VLOOKUP(D24,'Tarieven VPT'!$B$6:$I$178,8,FALSE),0)</f>
        <v>318.4879602792123</v>
      </c>
      <c r="F24" s="35">
        <f t="shared" si="0"/>
        <v>0</v>
      </c>
      <c r="G24" s="35">
        <f t="shared" si="1"/>
        <v>0</v>
      </c>
      <c r="H24" s="431">
        <f t="shared" si="2"/>
        <v>0</v>
      </c>
    </row>
    <row r="25" spans="1:8" ht="18.75" x14ac:dyDescent="0.3">
      <c r="A25" s="212" t="s">
        <v>1243</v>
      </c>
      <c r="B25" s="282" t="s">
        <v>566</v>
      </c>
      <c r="C25" s="35">
        <f>VLOOKUP(B25,'Tarieven VPT'!B29:I201,8,FALSE)</f>
        <v>348.95</v>
      </c>
      <c r="D25" s="282" t="s">
        <v>566</v>
      </c>
      <c r="E25" s="35">
        <f>IFERROR(VLOOKUP(D25,'Tarieven VPT'!$B$6:$I$178,8,FALSE),0)</f>
        <v>348.95</v>
      </c>
      <c r="F25" s="35">
        <f t="shared" si="0"/>
        <v>0</v>
      </c>
      <c r="G25" s="35">
        <f t="shared" si="1"/>
        <v>0</v>
      </c>
      <c r="H25" s="431">
        <f t="shared" si="2"/>
        <v>0</v>
      </c>
    </row>
    <row r="26" spans="1:8" ht="18.75" x14ac:dyDescent="0.3">
      <c r="A26" s="212" t="s">
        <v>1198</v>
      </c>
      <c r="B26" s="282" t="s">
        <v>217</v>
      </c>
      <c r="C26" s="35">
        <f>VLOOKUP(B26,'Tarieven VPT'!B30:I202,8,FALSE)</f>
        <v>80.184296978590254</v>
      </c>
      <c r="D26" s="282" t="s">
        <v>1244</v>
      </c>
      <c r="E26" s="35">
        <f>IFERROR(VLOOKUP(D26,'Tarieven VPT'!$B$6:$I$178,8,FALSE),0)</f>
        <v>0</v>
      </c>
      <c r="F26" s="35">
        <f t="shared" si="0"/>
        <v>-80.184296978590254</v>
      </c>
      <c r="G26" s="35">
        <f t="shared" si="1"/>
        <v>0</v>
      </c>
      <c r="H26" s="431">
        <f t="shared" si="2"/>
        <v>0</v>
      </c>
    </row>
    <row r="27" spans="1:8" ht="18.75" x14ac:dyDescent="0.3">
      <c r="A27" s="212" t="s">
        <v>1199</v>
      </c>
      <c r="B27" s="282" t="s">
        <v>123</v>
      </c>
      <c r="C27" s="35">
        <f>VLOOKUP(B27,'Tarieven VPT'!B31:I203,8,FALSE)</f>
        <v>116.95853183103148</v>
      </c>
      <c r="D27" s="282" t="s">
        <v>1244</v>
      </c>
      <c r="E27" s="35">
        <f>IFERROR(VLOOKUP(D27,'Tarieven VPT'!$B$6:$I$178,8,FALSE),0)</f>
        <v>0</v>
      </c>
      <c r="F27" s="35">
        <f t="shared" si="0"/>
        <v>-116.95853183103148</v>
      </c>
      <c r="G27" s="35">
        <f t="shared" si="1"/>
        <v>0</v>
      </c>
      <c r="H27" s="431">
        <f t="shared" si="2"/>
        <v>0</v>
      </c>
    </row>
    <row r="28" spans="1:8" ht="18.75" x14ac:dyDescent="0.3">
      <c r="A28" s="212" t="s">
        <v>1200</v>
      </c>
      <c r="B28" s="282" t="s">
        <v>255</v>
      </c>
      <c r="C28" s="35">
        <f>VLOOKUP(B28,'Tarieven VPT'!B32:I204,8,FALSE)</f>
        <v>90.655774999477799</v>
      </c>
      <c r="D28" s="282" t="s">
        <v>181</v>
      </c>
      <c r="E28" s="35">
        <f>IFERROR(VLOOKUP(D28,'Tarieven VPT'!$B$6:$I$178,8,FALSE),0)</f>
        <v>113.98401609027584</v>
      </c>
      <c r="F28" s="35">
        <f t="shared" si="0"/>
        <v>23.328241090798045</v>
      </c>
      <c r="G28" s="35">
        <f t="shared" si="1"/>
        <v>23.328241090798045</v>
      </c>
      <c r="H28" s="431">
        <f t="shared" si="2"/>
        <v>163.29768763558633</v>
      </c>
    </row>
    <row r="29" spans="1:8" ht="18.75" x14ac:dyDescent="0.3">
      <c r="A29" s="212" t="s">
        <v>1201</v>
      </c>
      <c r="B29" s="282" t="s">
        <v>343</v>
      </c>
      <c r="C29" s="35">
        <f>VLOOKUP(B29,'Tarieven VPT'!B33:I205,8,FALSE)</f>
        <v>142.10788125402721</v>
      </c>
      <c r="D29" s="282" t="s">
        <v>233</v>
      </c>
      <c r="E29" s="35">
        <f>IFERROR(VLOOKUP(D29,'Tarieven VPT'!$B$6:$I$178,8,FALSE),0)</f>
        <v>178.61620771845716</v>
      </c>
      <c r="F29" s="35">
        <f t="shared" si="0"/>
        <v>36.508326464429956</v>
      </c>
      <c r="G29" s="35">
        <f t="shared" si="1"/>
        <v>36.508326464429956</v>
      </c>
      <c r="H29" s="431">
        <f t="shared" si="2"/>
        <v>255.55828525100969</v>
      </c>
    </row>
    <row r="30" spans="1:8" ht="18.75" x14ac:dyDescent="0.3">
      <c r="A30" s="212" t="s">
        <v>1202</v>
      </c>
      <c r="B30" s="282" t="s">
        <v>143</v>
      </c>
      <c r="C30" s="35">
        <f>VLOOKUP(B30,'Tarieven VPT'!B34:I206,8,FALSE)</f>
        <v>143.71202121814392</v>
      </c>
      <c r="D30" s="282" t="s">
        <v>155</v>
      </c>
      <c r="E30" s="35">
        <f>IFERROR(VLOOKUP(D30,'Tarieven VPT'!$B$6:$I$178,8,FALSE),0)</f>
        <v>181.07415678270959</v>
      </c>
      <c r="F30" s="35">
        <f t="shared" si="0"/>
        <v>37.362135564565676</v>
      </c>
      <c r="G30" s="35">
        <f t="shared" si="1"/>
        <v>37.362135564565676</v>
      </c>
      <c r="H30" s="431">
        <f t="shared" si="2"/>
        <v>261.53494895195973</v>
      </c>
    </row>
    <row r="31" spans="1:8" ht="18.75" x14ac:dyDescent="0.3">
      <c r="A31" s="212" t="s">
        <v>1203</v>
      </c>
      <c r="B31" s="282" t="s">
        <v>228</v>
      </c>
      <c r="C31" s="35">
        <f>VLOOKUP(B31,'Tarieven VPT'!B35:I207,8,FALSE)</f>
        <v>199.55888424457731</v>
      </c>
      <c r="D31" s="282" t="s">
        <v>380</v>
      </c>
      <c r="E31" s="35">
        <f>IFERROR(VLOOKUP(D31,'Tarieven VPT'!$B$6:$I$178,8,FALSE),0)</f>
        <v>250.41121228386868</v>
      </c>
      <c r="F31" s="35">
        <f t="shared" si="0"/>
        <v>50.852328039291365</v>
      </c>
      <c r="G31" s="35">
        <f t="shared" si="1"/>
        <v>50.852328039291365</v>
      </c>
      <c r="H31" s="431">
        <f t="shared" si="2"/>
        <v>355.96629627503955</v>
      </c>
    </row>
    <row r="32" spans="1:8" ht="18.75" x14ac:dyDescent="0.3">
      <c r="A32" s="212" t="s">
        <v>1204</v>
      </c>
      <c r="B32" s="282" t="s">
        <v>162</v>
      </c>
      <c r="C32" s="35">
        <f>VLOOKUP(B32,'Tarieven VPT'!B36:I208,8,FALSE)</f>
        <v>226.16216367750789</v>
      </c>
      <c r="D32" s="282" t="s">
        <v>178</v>
      </c>
      <c r="E32" s="35">
        <f>IFERROR(VLOOKUP(D32,'Tarieven VPT'!$B$6:$I$178,8,FALSE),0)</f>
        <v>280.48510418164119</v>
      </c>
      <c r="F32" s="35">
        <f t="shared" si="0"/>
        <v>54.3229405041333</v>
      </c>
      <c r="G32" s="35">
        <f t="shared" si="1"/>
        <v>54.3229405041333</v>
      </c>
      <c r="H32" s="431">
        <f t="shared" si="2"/>
        <v>380.26058352893313</v>
      </c>
    </row>
    <row r="33" spans="1:8" ht="18.75" x14ac:dyDescent="0.3">
      <c r="A33" s="212" t="s">
        <v>1205</v>
      </c>
      <c r="B33" s="282" t="s">
        <v>360</v>
      </c>
      <c r="C33" s="35">
        <f>VLOOKUP(B33,'Tarieven VPT'!B37:I209,8,FALSE)</f>
        <v>135.04180612422513</v>
      </c>
      <c r="D33" s="282" t="s">
        <v>307</v>
      </c>
      <c r="E33" s="35">
        <f>IFERROR(VLOOKUP(D33,'Tarieven VPT'!$B$6:$I$178,8,FALSE),0)</f>
        <v>127.50588740432228</v>
      </c>
      <c r="F33" s="35">
        <f t="shared" si="0"/>
        <v>-7.5359187199028526</v>
      </c>
      <c r="G33" s="35">
        <f t="shared" si="1"/>
        <v>0</v>
      </c>
      <c r="H33" s="431">
        <f t="shared" si="2"/>
        <v>0</v>
      </c>
    </row>
    <row r="34" spans="1:8" x14ac:dyDescent="0.35">
      <c r="A34" s="212" t="s">
        <v>1206</v>
      </c>
      <c r="B34" s="282" t="s">
        <v>173</v>
      </c>
      <c r="C34" s="35">
        <f>VLOOKUP(B34,'Tarieven VPT'!B38:I210,8,FALSE)</f>
        <v>275.89979500224422</v>
      </c>
      <c r="D34" s="282" t="s">
        <v>227</v>
      </c>
      <c r="E34" s="35">
        <f>IFERROR(VLOOKUP(D34,'Tarieven VPT'!$B$6:$I$178,8,FALSE),0)</f>
        <v>280.23480789127456</v>
      </c>
      <c r="F34" s="35">
        <f t="shared" si="0"/>
        <v>4.3350128890303381</v>
      </c>
      <c r="G34" s="35">
        <f t="shared" si="1"/>
        <v>4.3350128890303381</v>
      </c>
      <c r="H34" s="431">
        <f t="shared" si="2"/>
        <v>30.345090223212367</v>
      </c>
    </row>
    <row r="35" spans="1:8" x14ac:dyDescent="0.35">
      <c r="A35" s="212" t="s">
        <v>1207</v>
      </c>
      <c r="B35" s="282" t="s">
        <v>195</v>
      </c>
      <c r="C35" s="35">
        <f>VLOOKUP(B35,'Tarieven VPT'!B39:I211,8,FALSE)</f>
        <v>315.84149111145734</v>
      </c>
      <c r="D35" s="282" t="s">
        <v>103</v>
      </c>
      <c r="E35" s="35">
        <f>IFERROR(VLOOKUP(D35,'Tarieven VPT'!$B$6:$I$178,8,FALSE),0)</f>
        <v>322.12713810594664</v>
      </c>
      <c r="F35" s="35">
        <f t="shared" si="0"/>
        <v>6.2856469944892979</v>
      </c>
      <c r="G35" s="35">
        <f t="shared" si="1"/>
        <v>6.2856469944892979</v>
      </c>
      <c r="H35" s="431">
        <f t="shared" si="2"/>
        <v>43.999528961425085</v>
      </c>
    </row>
    <row r="36" spans="1:8" x14ac:dyDescent="0.35">
      <c r="A36" s="212" t="s">
        <v>1208</v>
      </c>
      <c r="B36" s="282" t="s">
        <v>190</v>
      </c>
      <c r="C36" s="35">
        <f>VLOOKUP(B36,'Tarieven VPT'!B40:I212,8,FALSE)</f>
        <v>162.69999999999999</v>
      </c>
      <c r="D36" s="282" t="s">
        <v>376</v>
      </c>
      <c r="E36" s="35">
        <f>IFERROR(VLOOKUP(D36,'Tarieven VPT'!$B$6:$I$178,8,FALSE),0)</f>
        <v>186.02</v>
      </c>
      <c r="F36" s="35">
        <f t="shared" si="0"/>
        <v>23.320000000000022</v>
      </c>
      <c r="G36" s="35">
        <f t="shared" si="1"/>
        <v>23.320000000000022</v>
      </c>
      <c r="H36" s="431">
        <f t="shared" si="2"/>
        <v>163.24000000000015</v>
      </c>
    </row>
    <row r="37" spans="1:8" x14ac:dyDescent="0.35">
      <c r="A37" s="212" t="s">
        <v>1209</v>
      </c>
      <c r="B37" s="282" t="s">
        <v>113</v>
      </c>
      <c r="C37" s="35">
        <f>VLOOKUP(B37,'Tarieven VPT'!B41:I213,8,FALSE)</f>
        <v>74.63</v>
      </c>
      <c r="D37" s="282" t="s">
        <v>1244</v>
      </c>
      <c r="E37" s="35">
        <f>IFERROR(VLOOKUP(D37,'Tarieven VPT'!$B$6:$I$178,8,FALSE),0)</f>
        <v>0</v>
      </c>
      <c r="F37" s="35">
        <f t="shared" si="0"/>
        <v>-74.63</v>
      </c>
      <c r="G37" s="35">
        <f t="shared" si="1"/>
        <v>0</v>
      </c>
      <c r="H37" s="431">
        <f t="shared" si="2"/>
        <v>0</v>
      </c>
    </row>
    <row r="38" spans="1:8" x14ac:dyDescent="0.35">
      <c r="A38" s="212" t="s">
        <v>1210</v>
      </c>
      <c r="B38" s="282" t="s">
        <v>200</v>
      </c>
      <c r="C38" s="35">
        <f>VLOOKUP(B38,'Tarieven VPT'!B42:I214,8,FALSE)</f>
        <v>110.64</v>
      </c>
      <c r="D38" s="282" t="s">
        <v>1244</v>
      </c>
      <c r="E38" s="35">
        <f>IFERROR(VLOOKUP(D38,'Tarieven VPT'!$B$6:$I$178,8,FALSE),0)</f>
        <v>0</v>
      </c>
      <c r="F38" s="35">
        <f t="shared" si="0"/>
        <v>-110.64</v>
      </c>
      <c r="G38" s="35">
        <f t="shared" si="1"/>
        <v>0</v>
      </c>
      <c r="H38" s="431">
        <f t="shared" si="2"/>
        <v>0</v>
      </c>
    </row>
    <row r="39" spans="1:8" x14ac:dyDescent="0.35">
      <c r="A39" s="212" t="s">
        <v>1211</v>
      </c>
      <c r="B39" s="282" t="s">
        <v>224</v>
      </c>
      <c r="C39" s="35">
        <f>VLOOKUP(B39,'Tarieven VPT'!B43:I215,8,FALSE)</f>
        <v>135.34</v>
      </c>
      <c r="D39" s="282" t="s">
        <v>286</v>
      </c>
      <c r="E39" s="35">
        <f>IFERROR(VLOOKUP(D39,'Tarieven VPT'!$B$6:$I$178,8,FALSE),0)</f>
        <v>149.32</v>
      </c>
      <c r="F39" s="35">
        <f t="shared" si="0"/>
        <v>13.97999999999999</v>
      </c>
      <c r="G39" s="35">
        <f t="shared" si="1"/>
        <v>13.97999999999999</v>
      </c>
      <c r="H39" s="431">
        <f t="shared" si="2"/>
        <v>97.859999999999928</v>
      </c>
    </row>
    <row r="40" spans="1:8" x14ac:dyDescent="0.35">
      <c r="A40" s="212" t="s">
        <v>1212</v>
      </c>
      <c r="B40" s="282" t="s">
        <v>304</v>
      </c>
      <c r="C40" s="35">
        <f>VLOOKUP(B40,'Tarieven VPT'!B44:I216,8,FALSE)</f>
        <v>171.65</v>
      </c>
      <c r="D40" s="282" t="s">
        <v>58</v>
      </c>
      <c r="E40" s="35">
        <f>IFERROR(VLOOKUP(D40,'Tarieven VPT'!$B$6:$I$178,8,FALSE),0)</f>
        <v>189.53</v>
      </c>
      <c r="F40" s="35">
        <f t="shared" si="0"/>
        <v>17.879999999999995</v>
      </c>
      <c r="G40" s="35">
        <f t="shared" si="1"/>
        <v>17.879999999999995</v>
      </c>
      <c r="H40" s="431">
        <f t="shared" si="2"/>
        <v>125.15999999999997</v>
      </c>
    </row>
    <row r="41" spans="1:8" x14ac:dyDescent="0.35">
      <c r="A41" s="430" t="s">
        <v>1213</v>
      </c>
      <c r="B41" s="282" t="s">
        <v>285</v>
      </c>
      <c r="C41" s="35">
        <f>VLOOKUP(B41,'Tarieven VPT'!B45:I217,8,FALSE)</f>
        <v>188.72</v>
      </c>
      <c r="D41" s="282" t="s">
        <v>258</v>
      </c>
      <c r="E41" s="35">
        <f>IFERROR(VLOOKUP(D41,'Tarieven VPT'!$B$6:$I$178,8,FALSE),0)</f>
        <v>210.91</v>
      </c>
      <c r="F41" s="35">
        <f t="shared" si="0"/>
        <v>22.189999999999998</v>
      </c>
      <c r="G41" s="35">
        <f t="shared" si="1"/>
        <v>22.189999999999998</v>
      </c>
      <c r="H41" s="431">
        <f t="shared" si="2"/>
        <v>155.32999999999998</v>
      </c>
    </row>
    <row r="42" spans="1:8" x14ac:dyDescent="0.35">
      <c r="A42" s="264"/>
    </row>
    <row r="43" spans="1:8" x14ac:dyDescent="0.35">
      <c r="A43" s="264"/>
    </row>
    <row r="44" spans="1:8" x14ac:dyDescent="0.35">
      <c r="A44" s="264"/>
    </row>
    <row r="45" spans="1:8" x14ac:dyDescent="0.35">
      <c r="A45" s="264"/>
    </row>
    <row r="46" spans="1:8" x14ac:dyDescent="0.35">
      <c r="A46" s="264"/>
    </row>
    <row r="47" spans="1:8" x14ac:dyDescent="0.35">
      <c r="A47" s="264"/>
    </row>
    <row r="48" spans="1:8" x14ac:dyDescent="0.35">
      <c r="A48" s="264"/>
    </row>
    <row r="49" spans="1:1" x14ac:dyDescent="0.35">
      <c r="A49" s="264"/>
    </row>
    <row r="50" spans="1:1" x14ac:dyDescent="0.35">
      <c r="A50" s="264"/>
    </row>
    <row r="51" spans="1:1" x14ac:dyDescent="0.35">
      <c r="A51" s="264"/>
    </row>
    <row r="52" spans="1:1" x14ac:dyDescent="0.35">
      <c r="A52" s="264"/>
    </row>
    <row r="53" spans="1:1" x14ac:dyDescent="0.35">
      <c r="A53" s="264"/>
    </row>
    <row r="54" spans="1:1" x14ac:dyDescent="0.35">
      <c r="A54" s="264"/>
    </row>
    <row r="55" spans="1:1" x14ac:dyDescent="0.35">
      <c r="A55" s="264"/>
    </row>
    <row r="56" spans="1:1" x14ac:dyDescent="0.35">
      <c r="A56" s="264"/>
    </row>
    <row r="57" spans="1:1" x14ac:dyDescent="0.35">
      <c r="A57" s="264"/>
    </row>
    <row r="58" spans="1:1" x14ac:dyDescent="0.35">
      <c r="A58" s="264"/>
    </row>
    <row r="59" spans="1:1" x14ac:dyDescent="0.35">
      <c r="A59" s="264"/>
    </row>
    <row r="60" spans="1:1" x14ac:dyDescent="0.35">
      <c r="A60" s="264"/>
    </row>
    <row r="61" spans="1:1" x14ac:dyDescent="0.35">
      <c r="A61" s="264"/>
    </row>
    <row r="62" spans="1:1" x14ac:dyDescent="0.35">
      <c r="A62" s="264"/>
    </row>
    <row r="63" spans="1:1" x14ac:dyDescent="0.35">
      <c r="A63" s="264"/>
    </row>
    <row r="64" spans="1:1" x14ac:dyDescent="0.35">
      <c r="A64" s="264"/>
    </row>
    <row r="65" spans="1:1" x14ac:dyDescent="0.35">
      <c r="A65" s="264"/>
    </row>
    <row r="66" spans="1:1" x14ac:dyDescent="0.35">
      <c r="A66" s="264"/>
    </row>
    <row r="67" spans="1:1" x14ac:dyDescent="0.35">
      <c r="A67" s="264"/>
    </row>
    <row r="68" spans="1:1" x14ac:dyDescent="0.35">
      <c r="A68" s="264"/>
    </row>
    <row r="69" spans="1:1" x14ac:dyDescent="0.35">
      <c r="A69" s="264"/>
    </row>
    <row r="70" spans="1:1" x14ac:dyDescent="0.35">
      <c r="A70" s="264"/>
    </row>
    <row r="71" spans="1:1" x14ac:dyDescent="0.35">
      <c r="A71" s="264"/>
    </row>
    <row r="72" spans="1:1" x14ac:dyDescent="0.35">
      <c r="A72" s="264"/>
    </row>
    <row r="73" spans="1:1" x14ac:dyDescent="0.35">
      <c r="A73" s="264"/>
    </row>
    <row r="74" spans="1:1" x14ac:dyDescent="0.35">
      <c r="A74" s="264"/>
    </row>
    <row r="75" spans="1:1" x14ac:dyDescent="0.35">
      <c r="A75" s="264"/>
    </row>
    <row r="76" spans="1:1" x14ac:dyDescent="0.35">
      <c r="A76" s="264"/>
    </row>
    <row r="77" spans="1:1" x14ac:dyDescent="0.35">
      <c r="A77" s="264"/>
    </row>
    <row r="78" spans="1:1" x14ac:dyDescent="0.35">
      <c r="A78" s="264"/>
    </row>
    <row r="79" spans="1:1" x14ac:dyDescent="0.35">
      <c r="A79" s="264"/>
    </row>
    <row r="80" spans="1:1" x14ac:dyDescent="0.35">
      <c r="A80" s="264"/>
    </row>
    <row r="81" spans="1:1" x14ac:dyDescent="0.35">
      <c r="A81" s="264"/>
    </row>
    <row r="82" spans="1:1" x14ac:dyDescent="0.35">
      <c r="A82" s="264"/>
    </row>
    <row r="83" spans="1:1" x14ac:dyDescent="0.35">
      <c r="A83" s="264"/>
    </row>
    <row r="84" spans="1:1" x14ac:dyDescent="0.35">
      <c r="A84" s="264"/>
    </row>
    <row r="85" spans="1:1" x14ac:dyDescent="0.35">
      <c r="A85" s="264"/>
    </row>
    <row r="86" spans="1:1" x14ac:dyDescent="0.35">
      <c r="A86" s="264"/>
    </row>
    <row r="87" spans="1:1" x14ac:dyDescent="0.35">
      <c r="A87" s="264"/>
    </row>
    <row r="88" spans="1:1" x14ac:dyDescent="0.35">
      <c r="A88" s="264"/>
    </row>
    <row r="89" spans="1:1" x14ac:dyDescent="0.35">
      <c r="A89" s="264"/>
    </row>
    <row r="90" spans="1:1" x14ac:dyDescent="0.35">
      <c r="A90" s="264"/>
    </row>
    <row r="91" spans="1:1" x14ac:dyDescent="0.35">
      <c r="A91" s="264"/>
    </row>
    <row r="92" spans="1:1" x14ac:dyDescent="0.35">
      <c r="A92" s="264"/>
    </row>
    <row r="93" spans="1:1" x14ac:dyDescent="0.35">
      <c r="A93" s="264"/>
    </row>
    <row r="94" spans="1:1" x14ac:dyDescent="0.35">
      <c r="A94" s="264"/>
    </row>
    <row r="95" spans="1:1" x14ac:dyDescent="0.35">
      <c r="A95" s="264"/>
    </row>
    <row r="96" spans="1:1" x14ac:dyDescent="0.35">
      <c r="A96" s="264"/>
    </row>
    <row r="97" spans="1:1" x14ac:dyDescent="0.35">
      <c r="A97" s="264"/>
    </row>
    <row r="98" spans="1:1" x14ac:dyDescent="0.35">
      <c r="A98" s="264"/>
    </row>
    <row r="99" spans="1:1" x14ac:dyDescent="0.35">
      <c r="A99" s="264"/>
    </row>
    <row r="100" spans="1:1" x14ac:dyDescent="0.35">
      <c r="A100" s="264"/>
    </row>
    <row r="101" spans="1:1" x14ac:dyDescent="0.35">
      <c r="A101" s="264"/>
    </row>
    <row r="102" spans="1:1" x14ac:dyDescent="0.35">
      <c r="A102" s="264"/>
    </row>
    <row r="103" spans="1:1" x14ac:dyDescent="0.35">
      <c r="A103" s="264"/>
    </row>
    <row r="104" spans="1:1" x14ac:dyDescent="0.35">
      <c r="A104" s="264"/>
    </row>
    <row r="105" spans="1:1" x14ac:dyDescent="0.35">
      <c r="A105" s="264"/>
    </row>
    <row r="106" spans="1:1" x14ac:dyDescent="0.35">
      <c r="A106" s="264"/>
    </row>
    <row r="107" spans="1:1" x14ac:dyDescent="0.35">
      <c r="A107" s="264"/>
    </row>
    <row r="108" spans="1:1" x14ac:dyDescent="0.35">
      <c r="A108" s="264"/>
    </row>
    <row r="109" spans="1:1" x14ac:dyDescent="0.35">
      <c r="A109" s="264"/>
    </row>
    <row r="110" spans="1:1" x14ac:dyDescent="0.35">
      <c r="A110" s="264"/>
    </row>
    <row r="111" spans="1:1" x14ac:dyDescent="0.35">
      <c r="A111" s="264"/>
    </row>
    <row r="112" spans="1:1" x14ac:dyDescent="0.35">
      <c r="A112" s="264"/>
    </row>
    <row r="113" spans="1:1" x14ac:dyDescent="0.35">
      <c r="A113" s="264"/>
    </row>
    <row r="114" spans="1:1" x14ac:dyDescent="0.35">
      <c r="A114" s="264"/>
    </row>
    <row r="115" spans="1:1" x14ac:dyDescent="0.35">
      <c r="A115" s="264"/>
    </row>
    <row r="116" spans="1:1" x14ac:dyDescent="0.35">
      <c r="A116" s="264"/>
    </row>
    <row r="188" spans="1:1" x14ac:dyDescent="0.35">
      <c r="A188" s="135"/>
    </row>
    <row r="189" spans="1:1" x14ac:dyDescent="0.35">
      <c r="A189" s="135"/>
    </row>
    <row r="190" spans="1:1" x14ac:dyDescent="0.35">
      <c r="A190" s="135"/>
    </row>
    <row r="191" spans="1:1" x14ac:dyDescent="0.35">
      <c r="A191" s="135"/>
    </row>
    <row r="192" spans="1:1" x14ac:dyDescent="0.35">
      <c r="A192" s="135"/>
    </row>
    <row r="193" spans="1:1" x14ac:dyDescent="0.35">
      <c r="A193" s="135"/>
    </row>
    <row r="194" spans="1:1" x14ac:dyDescent="0.35">
      <c r="A194" s="135"/>
    </row>
    <row r="195" spans="1:1" x14ac:dyDescent="0.35">
      <c r="A195" s="135"/>
    </row>
    <row r="196" spans="1:1" x14ac:dyDescent="0.35">
      <c r="A196" s="135"/>
    </row>
    <row r="197" spans="1:1" x14ac:dyDescent="0.35">
      <c r="A197" s="135"/>
    </row>
    <row r="198" spans="1:1" x14ac:dyDescent="0.35">
      <c r="A198" s="135"/>
    </row>
    <row r="199" spans="1:1" x14ac:dyDescent="0.35">
      <c r="A199" s="135"/>
    </row>
    <row r="200" spans="1:1" x14ac:dyDescent="0.35">
      <c r="A200" s="135"/>
    </row>
    <row r="201" spans="1:1" x14ac:dyDescent="0.35">
      <c r="A201" s="135"/>
    </row>
    <row r="202" spans="1:1" x14ac:dyDescent="0.35">
      <c r="A202" s="135"/>
    </row>
    <row r="203" spans="1:1" x14ac:dyDescent="0.35">
      <c r="A203" s="135"/>
    </row>
    <row r="204" spans="1:1" x14ac:dyDescent="0.35">
      <c r="A204" s="135"/>
    </row>
    <row r="205" spans="1:1" x14ac:dyDescent="0.35">
      <c r="A205" s="135"/>
    </row>
    <row r="206" spans="1:1" x14ac:dyDescent="0.35">
      <c r="A206" s="135"/>
    </row>
    <row r="207" spans="1:1" x14ac:dyDescent="0.35">
      <c r="A207" s="135"/>
    </row>
    <row r="208" spans="1:1" x14ac:dyDescent="0.35">
      <c r="A208" s="135"/>
    </row>
    <row r="209" spans="1:1" x14ac:dyDescent="0.35">
      <c r="A209" s="135"/>
    </row>
    <row r="210" spans="1:1" x14ac:dyDescent="0.35">
      <c r="A210" s="135"/>
    </row>
    <row r="211" spans="1:1" x14ac:dyDescent="0.35">
      <c r="A211" s="135"/>
    </row>
    <row r="212" spans="1:1" x14ac:dyDescent="0.35">
      <c r="A212" s="135"/>
    </row>
    <row r="213" spans="1:1" x14ac:dyDescent="0.35">
      <c r="A213" s="135"/>
    </row>
    <row r="214" spans="1:1" x14ac:dyDescent="0.35">
      <c r="A214" s="135"/>
    </row>
    <row r="215" spans="1:1" x14ac:dyDescent="0.35">
      <c r="A215" s="135"/>
    </row>
    <row r="216" spans="1:1" x14ac:dyDescent="0.35">
      <c r="A216" s="135"/>
    </row>
    <row r="217" spans="1:1" x14ac:dyDescent="0.35">
      <c r="A217" s="135"/>
    </row>
    <row r="218" spans="1:1" x14ac:dyDescent="0.35">
      <c r="A218" s="135"/>
    </row>
    <row r="219" spans="1:1" x14ac:dyDescent="0.35">
      <c r="A219" s="135"/>
    </row>
    <row r="220" spans="1:1" x14ac:dyDescent="0.35">
      <c r="A220" s="135"/>
    </row>
    <row r="221" spans="1:1" x14ac:dyDescent="0.35">
      <c r="A221" s="135"/>
    </row>
    <row r="222" spans="1:1" x14ac:dyDescent="0.35">
      <c r="A222" s="135"/>
    </row>
    <row r="223" spans="1:1" x14ac:dyDescent="0.35">
      <c r="A223" s="135"/>
    </row>
    <row r="224" spans="1:1" x14ac:dyDescent="0.35">
      <c r="A224" s="135"/>
    </row>
    <row r="225" spans="1:1" x14ac:dyDescent="0.35">
      <c r="A225" s="135"/>
    </row>
    <row r="226" spans="1:1" x14ac:dyDescent="0.35">
      <c r="A226" s="135"/>
    </row>
    <row r="227" spans="1:1" x14ac:dyDescent="0.35">
      <c r="A227" s="135"/>
    </row>
    <row r="228" spans="1:1" x14ac:dyDescent="0.35">
      <c r="A228" s="135"/>
    </row>
    <row r="229" spans="1:1" x14ac:dyDescent="0.35">
      <c r="A229" s="135"/>
    </row>
    <row r="230" spans="1:1" x14ac:dyDescent="0.35">
      <c r="A230" s="135"/>
    </row>
    <row r="231" spans="1:1" x14ac:dyDescent="0.35">
      <c r="A231" s="135"/>
    </row>
    <row r="232" spans="1:1" x14ac:dyDescent="0.35">
      <c r="A232" s="135"/>
    </row>
    <row r="233" spans="1:1" x14ac:dyDescent="0.35">
      <c r="A233" s="135"/>
    </row>
    <row r="234" spans="1:1" x14ac:dyDescent="0.35">
      <c r="A234" s="135"/>
    </row>
    <row r="235" spans="1:1" x14ac:dyDescent="0.35">
      <c r="A235" s="135"/>
    </row>
    <row r="236" spans="1:1" x14ac:dyDescent="0.35">
      <c r="A236" s="135"/>
    </row>
    <row r="237" spans="1:1" x14ac:dyDescent="0.35">
      <c r="A237" s="135"/>
    </row>
    <row r="238" spans="1:1" x14ac:dyDescent="0.35">
      <c r="A238" s="135"/>
    </row>
    <row r="239" spans="1:1" x14ac:dyDescent="0.35">
      <c r="A239" s="135"/>
    </row>
    <row r="240" spans="1:1" x14ac:dyDescent="0.35">
      <c r="A240" s="135"/>
    </row>
    <row r="241" spans="1:1" x14ac:dyDescent="0.35">
      <c r="A241" s="135"/>
    </row>
    <row r="242" spans="1:1" x14ac:dyDescent="0.35">
      <c r="A242" s="135"/>
    </row>
    <row r="243" spans="1:1" x14ac:dyDescent="0.35">
      <c r="A243" s="135"/>
    </row>
    <row r="244" spans="1:1" x14ac:dyDescent="0.35">
      <c r="A244" s="135"/>
    </row>
    <row r="245" spans="1:1" x14ac:dyDescent="0.35">
      <c r="A245" s="135"/>
    </row>
    <row r="246" spans="1:1" x14ac:dyDescent="0.35">
      <c r="A246" s="135"/>
    </row>
    <row r="247" spans="1:1" x14ac:dyDescent="0.35">
      <c r="A247" s="135"/>
    </row>
    <row r="248" spans="1:1" x14ac:dyDescent="0.35">
      <c r="A248" s="135"/>
    </row>
    <row r="249" spans="1:1" x14ac:dyDescent="0.35">
      <c r="A249" s="135"/>
    </row>
    <row r="250" spans="1:1" x14ac:dyDescent="0.35">
      <c r="A250" s="135"/>
    </row>
    <row r="251" spans="1:1" x14ac:dyDescent="0.35">
      <c r="A251" s="135"/>
    </row>
    <row r="252" spans="1:1" x14ac:dyDescent="0.35">
      <c r="A252" s="135"/>
    </row>
    <row r="253" spans="1:1" x14ac:dyDescent="0.35">
      <c r="A253" s="135"/>
    </row>
    <row r="254" spans="1:1" x14ac:dyDescent="0.35">
      <c r="A254" s="135"/>
    </row>
    <row r="255" spans="1:1" x14ac:dyDescent="0.35">
      <c r="A255" s="135"/>
    </row>
    <row r="256" spans="1:1" x14ac:dyDescent="0.35">
      <c r="A256" s="135"/>
    </row>
    <row r="257" spans="1:1" x14ac:dyDescent="0.35">
      <c r="A257" s="135"/>
    </row>
    <row r="258" spans="1:1" x14ac:dyDescent="0.35">
      <c r="A258" s="135"/>
    </row>
    <row r="259" spans="1:1" x14ac:dyDescent="0.35">
      <c r="A259" s="135"/>
    </row>
    <row r="260" spans="1:1" x14ac:dyDescent="0.35">
      <c r="A260" s="135"/>
    </row>
    <row r="261" spans="1:1" x14ac:dyDescent="0.35">
      <c r="A261" s="135"/>
    </row>
    <row r="262" spans="1:1" x14ac:dyDescent="0.35">
      <c r="A262" s="135"/>
    </row>
    <row r="263" spans="1:1" x14ac:dyDescent="0.35">
      <c r="A263" s="135"/>
    </row>
    <row r="264" spans="1:1" x14ac:dyDescent="0.35">
      <c r="A264" s="135"/>
    </row>
    <row r="265" spans="1:1" x14ac:dyDescent="0.35">
      <c r="A265" s="135"/>
    </row>
    <row r="266" spans="1:1" x14ac:dyDescent="0.35">
      <c r="A266" s="135"/>
    </row>
    <row r="267" spans="1:1" x14ac:dyDescent="0.35">
      <c r="A267" s="135"/>
    </row>
    <row r="268" spans="1:1" x14ac:dyDescent="0.35">
      <c r="A268" s="135"/>
    </row>
    <row r="269" spans="1:1" x14ac:dyDescent="0.35">
      <c r="A269" s="135"/>
    </row>
    <row r="270" spans="1:1" x14ac:dyDescent="0.35">
      <c r="A270" s="135"/>
    </row>
    <row r="271" spans="1:1" x14ac:dyDescent="0.35">
      <c r="A271" s="135"/>
    </row>
    <row r="272" spans="1:1" x14ac:dyDescent="0.35">
      <c r="A272" s="135"/>
    </row>
    <row r="273" spans="1:1" x14ac:dyDescent="0.35">
      <c r="A273" s="135"/>
    </row>
    <row r="274" spans="1:1" x14ac:dyDescent="0.35">
      <c r="A274" s="135"/>
    </row>
    <row r="275" spans="1:1" x14ac:dyDescent="0.35">
      <c r="A275" s="135"/>
    </row>
    <row r="276" spans="1:1" x14ac:dyDescent="0.35">
      <c r="A276" s="135"/>
    </row>
    <row r="277" spans="1:1" x14ac:dyDescent="0.35">
      <c r="A277" s="135"/>
    </row>
    <row r="278" spans="1:1" x14ac:dyDescent="0.35">
      <c r="A278" s="135"/>
    </row>
    <row r="279" spans="1:1" x14ac:dyDescent="0.35">
      <c r="A279" s="135"/>
    </row>
    <row r="280" spans="1:1" x14ac:dyDescent="0.35">
      <c r="A280" s="135"/>
    </row>
    <row r="281" spans="1:1" x14ac:dyDescent="0.35">
      <c r="A281" s="135"/>
    </row>
    <row r="282" spans="1:1" x14ac:dyDescent="0.35">
      <c r="A282" s="135"/>
    </row>
    <row r="283" spans="1:1" x14ac:dyDescent="0.35">
      <c r="A283" s="135"/>
    </row>
    <row r="284" spans="1:1" x14ac:dyDescent="0.35">
      <c r="A284" s="135"/>
    </row>
    <row r="285" spans="1:1" x14ac:dyDescent="0.35">
      <c r="A285" s="135"/>
    </row>
    <row r="286" spans="1:1" x14ac:dyDescent="0.35">
      <c r="A286" s="135"/>
    </row>
    <row r="287" spans="1:1" x14ac:dyDescent="0.35">
      <c r="A287" s="135"/>
    </row>
    <row r="288" spans="1:1" x14ac:dyDescent="0.35">
      <c r="A288" s="135"/>
    </row>
    <row r="289" spans="1:1" x14ac:dyDescent="0.35">
      <c r="A289" s="135"/>
    </row>
    <row r="290" spans="1:1" x14ac:dyDescent="0.35">
      <c r="A290" s="135"/>
    </row>
    <row r="291" spans="1:1" x14ac:dyDescent="0.35">
      <c r="A291" s="135"/>
    </row>
    <row r="292" spans="1:1" x14ac:dyDescent="0.35">
      <c r="A292" s="135"/>
    </row>
    <row r="293" spans="1:1" x14ac:dyDescent="0.35">
      <c r="A293" s="135"/>
    </row>
    <row r="294" spans="1:1" x14ac:dyDescent="0.35">
      <c r="A294" s="135"/>
    </row>
    <row r="295" spans="1:1" x14ac:dyDescent="0.35">
      <c r="A295" s="135"/>
    </row>
    <row r="296" spans="1:1" x14ac:dyDescent="0.35">
      <c r="A296" s="135"/>
    </row>
    <row r="297" spans="1:1" x14ac:dyDescent="0.35">
      <c r="A297" s="135"/>
    </row>
    <row r="298" spans="1:1" x14ac:dyDescent="0.35">
      <c r="A298" s="135"/>
    </row>
    <row r="299" spans="1:1" x14ac:dyDescent="0.35">
      <c r="A299" s="135"/>
    </row>
    <row r="300" spans="1:1" x14ac:dyDescent="0.35">
      <c r="A300" s="135"/>
    </row>
    <row r="301" spans="1:1" x14ac:dyDescent="0.35">
      <c r="A301" s="135"/>
    </row>
    <row r="302" spans="1:1" x14ac:dyDescent="0.35">
      <c r="A302" s="135"/>
    </row>
    <row r="303" spans="1:1" x14ac:dyDescent="0.35">
      <c r="A303" s="135"/>
    </row>
    <row r="304" spans="1:1" x14ac:dyDescent="0.35">
      <c r="A304" s="135"/>
    </row>
    <row r="305" spans="1:1" x14ac:dyDescent="0.35">
      <c r="A305" s="135"/>
    </row>
    <row r="306" spans="1:1" x14ac:dyDescent="0.35">
      <c r="A306" s="135"/>
    </row>
    <row r="307" spans="1:1" x14ac:dyDescent="0.35">
      <c r="A307" s="135"/>
    </row>
    <row r="308" spans="1:1" x14ac:dyDescent="0.35">
      <c r="A308" s="135"/>
    </row>
    <row r="309" spans="1:1" x14ac:dyDescent="0.35">
      <c r="A309" s="135"/>
    </row>
    <row r="310" spans="1:1" x14ac:dyDescent="0.35">
      <c r="A310" s="135"/>
    </row>
    <row r="311" spans="1:1" x14ac:dyDescent="0.35">
      <c r="A311" s="135"/>
    </row>
    <row r="312" spans="1:1" x14ac:dyDescent="0.35">
      <c r="A312" s="135"/>
    </row>
    <row r="313" spans="1:1" x14ac:dyDescent="0.35">
      <c r="A313" s="135"/>
    </row>
    <row r="314" spans="1:1" x14ac:dyDescent="0.35">
      <c r="A314" s="135"/>
    </row>
    <row r="315" spans="1:1" x14ac:dyDescent="0.35">
      <c r="A315" s="135"/>
    </row>
    <row r="316" spans="1:1" x14ac:dyDescent="0.35">
      <c r="A316" s="135"/>
    </row>
    <row r="317" spans="1:1" x14ac:dyDescent="0.35">
      <c r="A317" s="135"/>
    </row>
    <row r="318" spans="1:1" x14ac:dyDescent="0.35">
      <c r="A318" s="135"/>
    </row>
    <row r="319" spans="1:1" x14ac:dyDescent="0.35">
      <c r="A319" s="135"/>
    </row>
    <row r="320" spans="1:1" x14ac:dyDescent="0.35">
      <c r="A320" s="135"/>
    </row>
    <row r="321" spans="1:1" x14ac:dyDescent="0.35">
      <c r="A321" s="135"/>
    </row>
    <row r="322" spans="1:1" x14ac:dyDescent="0.35">
      <c r="A322" s="135"/>
    </row>
    <row r="323" spans="1:1" x14ac:dyDescent="0.35">
      <c r="A323" s="135"/>
    </row>
    <row r="324" spans="1:1" x14ac:dyDescent="0.35">
      <c r="A324" s="135"/>
    </row>
    <row r="325" spans="1:1" x14ac:dyDescent="0.35">
      <c r="A325" s="135"/>
    </row>
    <row r="326" spans="1:1" x14ac:dyDescent="0.35">
      <c r="A326" s="135"/>
    </row>
    <row r="327" spans="1:1" x14ac:dyDescent="0.35">
      <c r="A327" s="135"/>
    </row>
    <row r="328" spans="1:1" x14ac:dyDescent="0.35">
      <c r="A328" s="135"/>
    </row>
    <row r="329" spans="1:1" x14ac:dyDescent="0.35">
      <c r="A329" s="135"/>
    </row>
    <row r="330" spans="1:1" x14ac:dyDescent="0.35">
      <c r="A330" s="135"/>
    </row>
    <row r="331" spans="1:1" x14ac:dyDescent="0.35">
      <c r="A331" s="135"/>
    </row>
    <row r="332" spans="1:1" x14ac:dyDescent="0.35">
      <c r="A332" s="135"/>
    </row>
    <row r="333" spans="1:1" x14ac:dyDescent="0.35">
      <c r="A333" s="135"/>
    </row>
    <row r="334" spans="1:1" x14ac:dyDescent="0.35">
      <c r="A334" s="135"/>
    </row>
    <row r="335" spans="1:1" x14ac:dyDescent="0.35">
      <c r="A335" s="135"/>
    </row>
    <row r="336" spans="1:1" x14ac:dyDescent="0.35">
      <c r="A336" s="135"/>
    </row>
    <row r="337" spans="1:1" x14ac:dyDescent="0.35">
      <c r="A337" s="135"/>
    </row>
    <row r="338" spans="1:1" x14ac:dyDescent="0.35">
      <c r="A338" s="135"/>
    </row>
    <row r="339" spans="1:1" x14ac:dyDescent="0.35">
      <c r="A339" s="135"/>
    </row>
    <row r="340" spans="1:1" x14ac:dyDescent="0.35">
      <c r="A340" s="135"/>
    </row>
    <row r="341" spans="1:1" x14ac:dyDescent="0.35">
      <c r="A341" s="135"/>
    </row>
    <row r="342" spans="1:1" x14ac:dyDescent="0.35">
      <c r="A342" s="135"/>
    </row>
    <row r="343" spans="1:1" x14ac:dyDescent="0.35">
      <c r="A343" s="135"/>
    </row>
    <row r="344" spans="1:1" x14ac:dyDescent="0.35">
      <c r="A344" s="135"/>
    </row>
    <row r="345" spans="1:1" x14ac:dyDescent="0.35">
      <c r="A345" s="135"/>
    </row>
    <row r="346" spans="1:1" x14ac:dyDescent="0.35">
      <c r="A346" s="135"/>
    </row>
    <row r="347" spans="1:1" x14ac:dyDescent="0.35">
      <c r="A347" s="135"/>
    </row>
    <row r="348" spans="1:1" x14ac:dyDescent="0.35">
      <c r="A348" s="135"/>
    </row>
    <row r="349" spans="1:1" x14ac:dyDescent="0.35">
      <c r="A349" s="135"/>
    </row>
    <row r="350" spans="1:1" x14ac:dyDescent="0.35">
      <c r="A350" s="135"/>
    </row>
    <row r="351" spans="1:1" x14ac:dyDescent="0.35">
      <c r="A351" s="135"/>
    </row>
    <row r="352" spans="1:1" x14ac:dyDescent="0.35">
      <c r="A352" s="135"/>
    </row>
    <row r="353" spans="1:1" x14ac:dyDescent="0.35">
      <c r="A353" s="135"/>
    </row>
    <row r="354" spans="1:1" x14ac:dyDescent="0.35">
      <c r="A354" s="135"/>
    </row>
    <row r="355" spans="1:1" x14ac:dyDescent="0.35">
      <c r="A355" s="135"/>
    </row>
    <row r="356" spans="1:1" x14ac:dyDescent="0.35">
      <c r="A356" s="135"/>
    </row>
    <row r="357" spans="1:1" x14ac:dyDescent="0.35">
      <c r="A357" s="135"/>
    </row>
    <row r="358" spans="1:1" x14ac:dyDescent="0.35">
      <c r="A358" s="135"/>
    </row>
    <row r="359" spans="1:1" x14ac:dyDescent="0.35">
      <c r="A359" s="135"/>
    </row>
    <row r="360" spans="1:1" x14ac:dyDescent="0.35">
      <c r="A360" s="135"/>
    </row>
    <row r="361" spans="1:1" x14ac:dyDescent="0.35">
      <c r="A361" s="135"/>
    </row>
    <row r="362" spans="1:1" x14ac:dyDescent="0.35">
      <c r="A362" s="135"/>
    </row>
    <row r="363" spans="1:1" x14ac:dyDescent="0.35">
      <c r="A363" s="135"/>
    </row>
    <row r="364" spans="1:1" x14ac:dyDescent="0.35">
      <c r="A364" s="135"/>
    </row>
    <row r="365" spans="1:1" x14ac:dyDescent="0.35">
      <c r="A365" s="135"/>
    </row>
    <row r="366" spans="1:1" x14ac:dyDescent="0.35">
      <c r="A366" s="135"/>
    </row>
    <row r="367" spans="1:1" x14ac:dyDescent="0.35">
      <c r="A367" s="135"/>
    </row>
    <row r="368" spans="1:1" x14ac:dyDescent="0.35">
      <c r="A368" s="135"/>
    </row>
    <row r="369" spans="1:1" x14ac:dyDescent="0.35">
      <c r="A369" s="135"/>
    </row>
    <row r="370" spans="1:1" x14ac:dyDescent="0.35">
      <c r="A370" s="135"/>
    </row>
    <row r="371" spans="1:1" x14ac:dyDescent="0.35">
      <c r="A371" s="135"/>
    </row>
    <row r="372" spans="1:1" x14ac:dyDescent="0.35">
      <c r="A372" s="135"/>
    </row>
    <row r="373" spans="1:1" x14ac:dyDescent="0.35">
      <c r="A373" s="135"/>
    </row>
    <row r="374" spans="1:1" x14ac:dyDescent="0.35">
      <c r="A374" s="135"/>
    </row>
    <row r="375" spans="1:1" x14ac:dyDescent="0.35">
      <c r="A375" s="135"/>
    </row>
    <row r="376" spans="1:1" x14ac:dyDescent="0.35">
      <c r="A376" s="135"/>
    </row>
    <row r="377" spans="1:1" x14ac:dyDescent="0.35">
      <c r="A377" s="135"/>
    </row>
    <row r="378" spans="1:1" x14ac:dyDescent="0.35">
      <c r="A378" s="135"/>
    </row>
    <row r="379" spans="1:1" x14ac:dyDescent="0.35">
      <c r="A379" s="135"/>
    </row>
    <row r="380" spans="1:1" x14ac:dyDescent="0.35">
      <c r="A380" s="135"/>
    </row>
    <row r="381" spans="1:1" x14ac:dyDescent="0.35">
      <c r="A381" s="135"/>
    </row>
    <row r="382" spans="1:1" x14ac:dyDescent="0.35">
      <c r="A382" s="135"/>
    </row>
    <row r="383" spans="1:1" x14ac:dyDescent="0.35">
      <c r="A383" s="135"/>
    </row>
    <row r="384" spans="1:1" x14ac:dyDescent="0.35">
      <c r="A384" s="135"/>
    </row>
    <row r="385" spans="1:1" x14ac:dyDescent="0.35">
      <c r="A385" s="135"/>
    </row>
    <row r="386" spans="1:1" x14ac:dyDescent="0.35">
      <c r="A386" s="135"/>
    </row>
    <row r="387" spans="1:1" x14ac:dyDescent="0.35">
      <c r="A387" s="135"/>
    </row>
    <row r="388" spans="1:1" x14ac:dyDescent="0.35">
      <c r="A388" s="135"/>
    </row>
    <row r="389" spans="1:1" x14ac:dyDescent="0.35">
      <c r="A389" s="135"/>
    </row>
    <row r="390" spans="1:1" x14ac:dyDescent="0.35">
      <c r="A390" s="135"/>
    </row>
    <row r="391" spans="1:1" x14ac:dyDescent="0.35">
      <c r="A391" s="135"/>
    </row>
    <row r="392" spans="1:1" x14ac:dyDescent="0.35">
      <c r="A392" s="135"/>
    </row>
    <row r="393" spans="1:1" x14ac:dyDescent="0.35">
      <c r="A393" s="135"/>
    </row>
    <row r="394" spans="1:1" x14ac:dyDescent="0.35">
      <c r="A394" s="135"/>
    </row>
    <row r="395" spans="1:1" x14ac:dyDescent="0.35">
      <c r="A395" s="135"/>
    </row>
    <row r="396" spans="1:1" x14ac:dyDescent="0.35">
      <c r="A396" s="135"/>
    </row>
    <row r="397" spans="1:1" x14ac:dyDescent="0.35">
      <c r="A397" s="135"/>
    </row>
    <row r="398" spans="1:1" x14ac:dyDescent="0.35">
      <c r="A398" s="135"/>
    </row>
    <row r="399" spans="1:1" x14ac:dyDescent="0.35">
      <c r="A399" s="135"/>
    </row>
    <row r="400" spans="1:1" x14ac:dyDescent="0.35">
      <c r="A400" s="135"/>
    </row>
    <row r="401" spans="1:1" x14ac:dyDescent="0.35">
      <c r="A401" s="135"/>
    </row>
    <row r="402" spans="1:1" x14ac:dyDescent="0.35">
      <c r="A402" s="135"/>
    </row>
    <row r="403" spans="1:1" x14ac:dyDescent="0.35">
      <c r="A403" s="135"/>
    </row>
    <row r="404" spans="1:1" x14ac:dyDescent="0.35">
      <c r="A404" s="135"/>
    </row>
    <row r="405" spans="1:1" x14ac:dyDescent="0.35">
      <c r="A405" s="135"/>
    </row>
    <row r="406" spans="1:1" x14ac:dyDescent="0.35">
      <c r="A406" s="135"/>
    </row>
    <row r="407" spans="1:1" x14ac:dyDescent="0.35">
      <c r="A407" s="135"/>
    </row>
    <row r="408" spans="1:1" x14ac:dyDescent="0.35">
      <c r="A408" s="135"/>
    </row>
    <row r="409" spans="1:1" x14ac:dyDescent="0.35">
      <c r="A409" s="135"/>
    </row>
    <row r="410" spans="1:1" x14ac:dyDescent="0.35">
      <c r="A410" s="135"/>
    </row>
    <row r="411" spans="1:1" x14ac:dyDescent="0.35">
      <c r="A411" s="135"/>
    </row>
    <row r="412" spans="1:1" x14ac:dyDescent="0.35">
      <c r="A412" s="135"/>
    </row>
    <row r="413" spans="1:1" x14ac:dyDescent="0.35">
      <c r="A413" s="135"/>
    </row>
    <row r="414" spans="1:1" x14ac:dyDescent="0.35">
      <c r="A414" s="135"/>
    </row>
    <row r="415" spans="1:1" x14ac:dyDescent="0.35">
      <c r="A415" s="135"/>
    </row>
    <row r="416" spans="1:1" x14ac:dyDescent="0.35">
      <c r="A416" s="135"/>
    </row>
    <row r="417" spans="1:1" x14ac:dyDescent="0.35">
      <c r="A417" s="135"/>
    </row>
    <row r="418" spans="1:1" x14ac:dyDescent="0.35">
      <c r="A418" s="135"/>
    </row>
    <row r="419" spans="1:1" x14ac:dyDescent="0.35">
      <c r="A419" s="135"/>
    </row>
    <row r="420" spans="1:1" x14ac:dyDescent="0.35">
      <c r="A420" s="135"/>
    </row>
    <row r="421" spans="1:1" x14ac:dyDescent="0.35">
      <c r="A421" s="135"/>
    </row>
    <row r="422" spans="1:1" x14ac:dyDescent="0.35">
      <c r="A422" s="135"/>
    </row>
    <row r="423" spans="1:1" x14ac:dyDescent="0.35">
      <c r="A423" s="135"/>
    </row>
    <row r="424" spans="1:1" x14ac:dyDescent="0.35">
      <c r="A424" s="135"/>
    </row>
    <row r="425" spans="1:1" x14ac:dyDescent="0.35">
      <c r="A425" s="135"/>
    </row>
    <row r="426" spans="1:1" x14ac:dyDescent="0.35">
      <c r="A426" s="135"/>
    </row>
    <row r="427" spans="1:1" x14ac:dyDescent="0.35">
      <c r="A427" s="135"/>
    </row>
    <row r="428" spans="1:1" x14ac:dyDescent="0.35">
      <c r="A428" s="135"/>
    </row>
    <row r="429" spans="1:1" x14ac:dyDescent="0.35">
      <c r="A429" s="135"/>
    </row>
    <row r="430" spans="1:1" x14ac:dyDescent="0.35">
      <c r="A430" s="135"/>
    </row>
    <row r="431" spans="1:1" x14ac:dyDescent="0.35">
      <c r="A431" s="135"/>
    </row>
    <row r="432" spans="1:1" x14ac:dyDescent="0.35">
      <c r="A432" s="135"/>
    </row>
    <row r="433" spans="1:1" x14ac:dyDescent="0.35">
      <c r="A433" s="135"/>
    </row>
    <row r="434" spans="1:1" x14ac:dyDescent="0.35">
      <c r="A434" s="135"/>
    </row>
    <row r="435" spans="1:1" x14ac:dyDescent="0.35">
      <c r="A435" s="135"/>
    </row>
    <row r="436" spans="1:1" x14ac:dyDescent="0.35">
      <c r="A436" s="135"/>
    </row>
    <row r="437" spans="1:1" x14ac:dyDescent="0.35">
      <c r="A437" s="135"/>
    </row>
    <row r="438" spans="1:1" x14ac:dyDescent="0.35">
      <c r="A438" s="135"/>
    </row>
    <row r="439" spans="1:1" x14ac:dyDescent="0.35">
      <c r="A439" s="135"/>
    </row>
    <row r="440" spans="1:1" x14ac:dyDescent="0.35">
      <c r="A440" s="135"/>
    </row>
    <row r="441" spans="1:1" x14ac:dyDescent="0.35">
      <c r="A441" s="135"/>
    </row>
    <row r="442" spans="1:1" x14ac:dyDescent="0.35">
      <c r="A442" s="135"/>
    </row>
    <row r="443" spans="1:1" x14ac:dyDescent="0.35">
      <c r="A443" s="135"/>
    </row>
    <row r="444" spans="1:1" x14ac:dyDescent="0.35">
      <c r="A444" s="135"/>
    </row>
    <row r="445" spans="1:1" x14ac:dyDescent="0.35">
      <c r="A445" s="135"/>
    </row>
    <row r="446" spans="1:1" x14ac:dyDescent="0.35">
      <c r="A446" s="135"/>
    </row>
    <row r="447" spans="1:1" x14ac:dyDescent="0.35">
      <c r="A447" s="135"/>
    </row>
    <row r="448" spans="1:1" x14ac:dyDescent="0.35">
      <c r="A448" s="135"/>
    </row>
    <row r="449" spans="1:1" x14ac:dyDescent="0.35">
      <c r="A449" s="135"/>
    </row>
    <row r="450" spans="1:1" x14ac:dyDescent="0.35">
      <c r="A450" s="135"/>
    </row>
    <row r="451" spans="1:1" x14ac:dyDescent="0.35">
      <c r="A451" s="135"/>
    </row>
    <row r="452" spans="1:1" x14ac:dyDescent="0.35">
      <c r="A452" s="135"/>
    </row>
    <row r="453" spans="1:1" x14ac:dyDescent="0.35">
      <c r="A453" s="135"/>
    </row>
    <row r="454" spans="1:1" x14ac:dyDescent="0.35">
      <c r="A454" s="135"/>
    </row>
    <row r="455" spans="1:1" x14ac:dyDescent="0.35">
      <c r="A455" s="135"/>
    </row>
    <row r="456" spans="1:1" x14ac:dyDescent="0.35">
      <c r="A456" s="135"/>
    </row>
    <row r="457" spans="1:1" x14ac:dyDescent="0.35">
      <c r="A457" s="135"/>
    </row>
    <row r="458" spans="1:1" x14ac:dyDescent="0.35">
      <c r="A458" s="135"/>
    </row>
    <row r="459" spans="1:1" x14ac:dyDescent="0.35">
      <c r="A459" s="135"/>
    </row>
    <row r="460" spans="1:1" x14ac:dyDescent="0.35">
      <c r="A460" s="135"/>
    </row>
    <row r="461" spans="1:1" x14ac:dyDescent="0.35">
      <c r="A461" s="135"/>
    </row>
    <row r="462" spans="1:1" x14ac:dyDescent="0.35">
      <c r="A462" s="135"/>
    </row>
    <row r="463" spans="1:1" x14ac:dyDescent="0.35">
      <c r="A463" s="135"/>
    </row>
    <row r="464" spans="1:1" x14ac:dyDescent="0.35">
      <c r="A464" s="135"/>
    </row>
    <row r="465" spans="1:1" x14ac:dyDescent="0.35">
      <c r="A465" s="135"/>
    </row>
    <row r="466" spans="1:1" x14ac:dyDescent="0.35">
      <c r="A466" s="135"/>
    </row>
    <row r="467" spans="1:1" x14ac:dyDescent="0.35">
      <c r="A467" s="135"/>
    </row>
    <row r="468" spans="1:1" x14ac:dyDescent="0.35">
      <c r="A468" s="135"/>
    </row>
    <row r="469" spans="1:1" x14ac:dyDescent="0.35">
      <c r="A469" s="135"/>
    </row>
    <row r="470" spans="1:1" x14ac:dyDescent="0.35">
      <c r="A470" s="135"/>
    </row>
    <row r="471" spans="1:1" x14ac:dyDescent="0.35">
      <c r="A471" s="135"/>
    </row>
    <row r="472" spans="1:1" x14ac:dyDescent="0.35">
      <c r="A472" s="135"/>
    </row>
    <row r="473" spans="1:1" x14ac:dyDescent="0.35">
      <c r="A473" s="135"/>
    </row>
    <row r="474" spans="1:1" x14ac:dyDescent="0.35">
      <c r="A474" s="135"/>
    </row>
    <row r="475" spans="1:1" x14ac:dyDescent="0.35">
      <c r="A475" s="135"/>
    </row>
    <row r="476" spans="1:1" x14ac:dyDescent="0.35">
      <c r="A476" s="135"/>
    </row>
    <row r="477" spans="1:1" x14ac:dyDescent="0.35">
      <c r="A477" s="135"/>
    </row>
    <row r="478" spans="1:1" x14ac:dyDescent="0.35">
      <c r="A478" s="135"/>
    </row>
    <row r="479" spans="1:1" x14ac:dyDescent="0.35">
      <c r="A479" s="135"/>
    </row>
    <row r="480" spans="1:1" x14ac:dyDescent="0.35">
      <c r="A480" s="135"/>
    </row>
    <row r="481" spans="1:1" x14ac:dyDescent="0.35">
      <c r="A481" s="135"/>
    </row>
    <row r="482" spans="1:1" x14ac:dyDescent="0.35">
      <c r="A482" s="135"/>
    </row>
    <row r="483" spans="1:1" x14ac:dyDescent="0.35">
      <c r="A483" s="135"/>
    </row>
    <row r="484" spans="1:1" x14ac:dyDescent="0.35">
      <c r="A484" s="135"/>
    </row>
    <row r="485" spans="1:1" x14ac:dyDescent="0.35">
      <c r="A485" s="135"/>
    </row>
    <row r="486" spans="1:1" x14ac:dyDescent="0.35">
      <c r="A486" s="135"/>
    </row>
    <row r="487" spans="1:1" x14ac:dyDescent="0.35">
      <c r="A487" s="135"/>
    </row>
    <row r="488" spans="1:1" x14ac:dyDescent="0.35">
      <c r="A488" s="135"/>
    </row>
    <row r="489" spans="1:1" x14ac:dyDescent="0.35">
      <c r="A489" s="135"/>
    </row>
    <row r="490" spans="1:1" x14ac:dyDescent="0.35">
      <c r="A490" s="135"/>
    </row>
    <row r="491" spans="1:1" x14ac:dyDescent="0.35">
      <c r="A491" s="135"/>
    </row>
    <row r="492" spans="1:1" x14ac:dyDescent="0.35">
      <c r="A492" s="135"/>
    </row>
    <row r="493" spans="1:1" x14ac:dyDescent="0.35">
      <c r="A493" s="135"/>
    </row>
    <row r="494" spans="1:1" x14ac:dyDescent="0.35">
      <c r="A494" s="135"/>
    </row>
    <row r="495" spans="1:1" x14ac:dyDescent="0.35">
      <c r="A495" s="135"/>
    </row>
    <row r="496" spans="1:1" x14ac:dyDescent="0.35">
      <c r="A496" s="135"/>
    </row>
  </sheetData>
  <sheetProtection algorithmName="SHA-512" hashValue="eLvw3hRqTZAnXLKf5Xlf6fy+B9g6XuTAB4swSpFIQhRvkGA+ZQNKbfhHG4VqSvJ5LvnbBBktAdyAU9EPgKuG6Q==" saltValue="BDk9VXhBwp79eR6Q+Cah7Q==" spinCount="100000" sheet="1" objects="1" scenarios="1"/>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J86"/>
  <sheetViews>
    <sheetView workbookViewId="0">
      <selection activeCell="I23" sqref="I23"/>
    </sheetView>
  </sheetViews>
  <sheetFormatPr defaultRowHeight="14.4" x14ac:dyDescent="0.3"/>
  <cols>
    <col min="2" max="2" width="13.5546875" bestFit="1" customWidth="1"/>
    <col min="3" max="3" width="9.44140625" bestFit="1" customWidth="1"/>
    <col min="4" max="4" width="6.33203125" bestFit="1" customWidth="1"/>
    <col min="5" max="5" width="17.5546875" bestFit="1" customWidth="1"/>
    <col min="6" max="6" width="25.6640625" bestFit="1" customWidth="1"/>
    <col min="7" max="7" width="4.44140625" bestFit="1" customWidth="1"/>
    <col min="8" max="8" width="13.5546875" bestFit="1" customWidth="1"/>
    <col min="9" max="9" width="67.5546875" bestFit="1" customWidth="1"/>
    <col min="10" max="10" width="84.6640625" bestFit="1" customWidth="1"/>
  </cols>
  <sheetData>
    <row r="1" spans="1:10" ht="15" x14ac:dyDescent="0.25">
      <c r="A1" s="28" t="s">
        <v>1314</v>
      </c>
      <c r="B1" s="28"/>
      <c r="C1" s="28"/>
      <c r="D1" s="28"/>
      <c r="E1" s="28"/>
      <c r="F1" s="29" t="s">
        <v>1318</v>
      </c>
      <c r="G1" s="28"/>
      <c r="H1" s="28"/>
      <c r="I1" s="28"/>
      <c r="J1" s="28"/>
    </row>
    <row r="2" spans="1:10" ht="15" x14ac:dyDescent="0.25">
      <c r="A2" s="28" t="s">
        <v>1313</v>
      </c>
      <c r="B2" s="28"/>
      <c r="C2" s="28"/>
      <c r="D2" s="28"/>
      <c r="E2" s="28"/>
      <c r="F2" s="29" t="s">
        <v>1319</v>
      </c>
      <c r="G2" s="28"/>
      <c r="H2" s="28"/>
      <c r="I2" s="28"/>
      <c r="J2" s="28"/>
    </row>
    <row r="3" spans="1:10" ht="60" x14ac:dyDescent="0.25">
      <c r="A3" s="30" t="s">
        <v>1320</v>
      </c>
      <c r="B3" s="30" t="s">
        <v>1321</v>
      </c>
      <c r="C3" s="30" t="s">
        <v>1322</v>
      </c>
      <c r="D3" s="30"/>
      <c r="E3" s="30" t="s">
        <v>1323</v>
      </c>
      <c r="F3" s="31" t="s">
        <v>1324</v>
      </c>
      <c r="G3" s="31" t="s">
        <v>1325</v>
      </c>
      <c r="H3" s="30" t="s">
        <v>1289</v>
      </c>
      <c r="I3" s="30" t="s">
        <v>1305</v>
      </c>
      <c r="J3" s="30" t="s">
        <v>1306</v>
      </c>
    </row>
    <row r="4" spans="1:10" ht="15" x14ac:dyDescent="0.25">
      <c r="A4" s="28" t="s">
        <v>7</v>
      </c>
      <c r="B4" s="28" t="s">
        <v>1326</v>
      </c>
      <c r="C4" s="29" t="s">
        <v>1327</v>
      </c>
      <c r="D4" s="29" t="s">
        <v>1328</v>
      </c>
      <c r="E4" s="29" t="s">
        <v>1329</v>
      </c>
      <c r="F4" s="29">
        <v>1</v>
      </c>
      <c r="G4" s="29">
        <v>5</v>
      </c>
      <c r="H4" s="28" t="s">
        <v>1297</v>
      </c>
      <c r="I4" s="28" t="s">
        <v>1309</v>
      </c>
      <c r="J4" s="28" t="s">
        <v>1330</v>
      </c>
    </row>
    <row r="5" spans="1:10" x14ac:dyDescent="0.3">
      <c r="A5" s="28" t="s">
        <v>520</v>
      </c>
      <c r="B5" s="28" t="s">
        <v>1331</v>
      </c>
      <c r="C5" s="29">
        <v>82</v>
      </c>
      <c r="D5" s="28"/>
      <c r="E5" s="29" t="s">
        <v>1329</v>
      </c>
      <c r="F5" s="28"/>
      <c r="G5" s="28"/>
      <c r="H5" s="28" t="s">
        <v>1297</v>
      </c>
      <c r="I5" s="28" t="s">
        <v>1309</v>
      </c>
      <c r="J5" s="28" t="s">
        <v>1330</v>
      </c>
    </row>
    <row r="6" spans="1:10" x14ac:dyDescent="0.3">
      <c r="A6" s="28" t="s">
        <v>490</v>
      </c>
      <c r="B6" s="28" t="s">
        <v>1332</v>
      </c>
      <c r="C6" s="29">
        <v>82</v>
      </c>
      <c r="D6" s="28"/>
      <c r="E6" s="29" t="s">
        <v>1329</v>
      </c>
      <c r="F6" s="28"/>
      <c r="G6" s="28"/>
      <c r="H6" s="28" t="s">
        <v>1297</v>
      </c>
      <c r="I6" s="28" t="s">
        <v>1309</v>
      </c>
      <c r="J6" s="28" t="s">
        <v>1330</v>
      </c>
    </row>
    <row r="7" spans="1:10" ht="15" x14ac:dyDescent="0.25">
      <c r="A7" s="28" t="s">
        <v>500</v>
      </c>
      <c r="B7" s="28" t="s">
        <v>1333</v>
      </c>
      <c r="C7" s="29">
        <v>82</v>
      </c>
      <c r="D7" s="28"/>
      <c r="E7" s="29" t="s">
        <v>1329</v>
      </c>
      <c r="F7" s="28"/>
      <c r="G7" s="28"/>
      <c r="H7" s="28" t="s">
        <v>1297</v>
      </c>
      <c r="I7" s="28" t="s">
        <v>1309</v>
      </c>
      <c r="J7" s="28" t="s">
        <v>1330</v>
      </c>
    </row>
    <row r="8" spans="1:10" ht="15" x14ac:dyDescent="0.25">
      <c r="A8" s="28" t="s">
        <v>524</v>
      </c>
      <c r="B8" s="28" t="s">
        <v>1334</v>
      </c>
      <c r="C8" s="29">
        <v>82</v>
      </c>
      <c r="D8" s="28"/>
      <c r="E8" s="29" t="s">
        <v>1329</v>
      </c>
      <c r="F8" s="28"/>
      <c r="G8" s="28"/>
      <c r="H8" s="28" t="s">
        <v>1297</v>
      </c>
      <c r="I8" s="28" t="s">
        <v>1309</v>
      </c>
      <c r="J8" s="28" t="s">
        <v>1330</v>
      </c>
    </row>
    <row r="9" spans="1:10" ht="15" x14ac:dyDescent="0.25">
      <c r="A9" s="28" t="s">
        <v>546</v>
      </c>
      <c r="B9" s="28" t="s">
        <v>1335</v>
      </c>
      <c r="C9" s="29" t="s">
        <v>1327</v>
      </c>
      <c r="D9" s="29" t="s">
        <v>1328</v>
      </c>
      <c r="E9" s="29" t="s">
        <v>1329</v>
      </c>
      <c r="F9" s="28"/>
      <c r="G9" s="28"/>
      <c r="H9" s="28" t="s">
        <v>1297</v>
      </c>
      <c r="I9" s="28" t="s">
        <v>1309</v>
      </c>
      <c r="J9" s="28" t="s">
        <v>1330</v>
      </c>
    </row>
    <row r="10" spans="1:10" ht="15" x14ac:dyDescent="0.25">
      <c r="A10" s="28" t="s">
        <v>550</v>
      </c>
      <c r="B10" s="28" t="s">
        <v>1336</v>
      </c>
      <c r="C10" s="29">
        <v>82</v>
      </c>
      <c r="D10" s="28"/>
      <c r="E10" s="29" t="s">
        <v>1329</v>
      </c>
      <c r="F10" s="29">
        <v>1</v>
      </c>
      <c r="G10" s="29">
        <v>3</v>
      </c>
      <c r="H10" s="28" t="s">
        <v>1297</v>
      </c>
      <c r="I10" s="28" t="s">
        <v>1309</v>
      </c>
      <c r="J10" s="28" t="s">
        <v>1330</v>
      </c>
    </row>
    <row r="11" spans="1:10" ht="15" x14ac:dyDescent="0.25">
      <c r="A11" s="28" t="s">
        <v>502</v>
      </c>
      <c r="B11" s="28" t="s">
        <v>1337</v>
      </c>
      <c r="C11" s="29">
        <v>82</v>
      </c>
      <c r="D11" s="28"/>
      <c r="E11" s="29" t="s">
        <v>1329</v>
      </c>
      <c r="F11" s="28"/>
      <c r="G11" s="28"/>
      <c r="H11" s="28" t="s">
        <v>1297</v>
      </c>
      <c r="I11" s="28" t="s">
        <v>1309</v>
      </c>
      <c r="J11" s="28" t="s">
        <v>1330</v>
      </c>
    </row>
    <row r="12" spans="1:10" ht="15" x14ac:dyDescent="0.25">
      <c r="A12" s="28" t="s">
        <v>536</v>
      </c>
      <c r="B12" s="28" t="s">
        <v>1338</v>
      </c>
      <c r="C12" s="29">
        <v>82</v>
      </c>
      <c r="D12" s="28"/>
      <c r="E12" s="29" t="s">
        <v>1329</v>
      </c>
      <c r="F12" s="28"/>
      <c r="G12" s="28"/>
      <c r="H12" s="28" t="s">
        <v>1297</v>
      </c>
      <c r="I12" s="28" t="s">
        <v>1309</v>
      </c>
      <c r="J12" s="28" t="s">
        <v>1330</v>
      </c>
    </row>
    <row r="13" spans="1:10" ht="15" x14ac:dyDescent="0.25">
      <c r="A13" s="28" t="s">
        <v>556</v>
      </c>
      <c r="B13" s="28" t="s">
        <v>1339</v>
      </c>
      <c r="C13" s="29">
        <v>82</v>
      </c>
      <c r="D13" s="28"/>
      <c r="E13" s="29" t="s">
        <v>1329</v>
      </c>
      <c r="F13" s="28"/>
      <c r="G13" s="28"/>
      <c r="H13" s="28" t="s">
        <v>1297</v>
      </c>
      <c r="I13" s="28" t="s">
        <v>1309</v>
      </c>
      <c r="J13" s="28" t="s">
        <v>1330</v>
      </c>
    </row>
    <row r="14" spans="1:10" ht="15" x14ac:dyDescent="0.25">
      <c r="A14" s="28" t="s">
        <v>540</v>
      </c>
      <c r="B14" s="28" t="s">
        <v>1340</v>
      </c>
      <c r="C14" s="29">
        <v>82</v>
      </c>
      <c r="D14" s="28"/>
      <c r="E14" s="29" t="s">
        <v>1329</v>
      </c>
      <c r="F14" s="28"/>
      <c r="G14" s="28"/>
      <c r="H14" s="28" t="s">
        <v>1297</v>
      </c>
      <c r="I14" s="28" t="s">
        <v>1309</v>
      </c>
      <c r="J14" s="28" t="s">
        <v>1330</v>
      </c>
    </row>
    <row r="15" spans="1:10" ht="15" x14ac:dyDescent="0.25">
      <c r="A15" s="28" t="s">
        <v>492</v>
      </c>
      <c r="B15" s="28" t="s">
        <v>1341</v>
      </c>
      <c r="C15" s="29">
        <v>82</v>
      </c>
      <c r="D15" s="28"/>
      <c r="E15" s="29" t="s">
        <v>1329</v>
      </c>
      <c r="F15" s="28"/>
      <c r="G15" s="28"/>
      <c r="H15" s="28" t="s">
        <v>1297</v>
      </c>
      <c r="I15" s="28" t="s">
        <v>1309</v>
      </c>
      <c r="J15" s="28" t="s">
        <v>1330</v>
      </c>
    </row>
    <row r="16" spans="1:10" ht="15" x14ac:dyDescent="0.25">
      <c r="A16" s="28" t="s">
        <v>518</v>
      </c>
      <c r="B16" s="28" t="s">
        <v>1342</v>
      </c>
      <c r="C16" s="29">
        <v>82</v>
      </c>
      <c r="D16" s="28"/>
      <c r="E16" s="29" t="s">
        <v>1329</v>
      </c>
      <c r="F16" s="28"/>
      <c r="G16" s="28"/>
      <c r="H16" s="28" t="s">
        <v>1297</v>
      </c>
      <c r="I16" s="28" t="s">
        <v>1309</v>
      </c>
      <c r="J16" s="28" t="s">
        <v>1330</v>
      </c>
    </row>
    <row r="17" spans="1:10" ht="15" x14ac:dyDescent="0.25">
      <c r="A17" s="28" t="s">
        <v>560</v>
      </c>
      <c r="B17" s="28" t="s">
        <v>1343</v>
      </c>
      <c r="C17" s="29" t="s">
        <v>1327</v>
      </c>
      <c r="D17" s="29" t="s">
        <v>1328</v>
      </c>
      <c r="E17" s="29" t="s">
        <v>1329</v>
      </c>
      <c r="F17" s="28"/>
      <c r="G17" s="28"/>
      <c r="H17" s="28" t="s">
        <v>1297</v>
      </c>
      <c r="I17" s="28" t="s">
        <v>1309</v>
      </c>
      <c r="J17" s="28" t="s">
        <v>1330</v>
      </c>
    </row>
    <row r="18" spans="1:10" ht="15" x14ac:dyDescent="0.25">
      <c r="A18" s="28" t="s">
        <v>510</v>
      </c>
      <c r="B18" s="28" t="s">
        <v>1344</v>
      </c>
      <c r="C18" s="29" t="s">
        <v>1327</v>
      </c>
      <c r="D18" s="29" t="s">
        <v>1328</v>
      </c>
      <c r="E18" s="29" t="s">
        <v>1329</v>
      </c>
      <c r="F18" s="28"/>
      <c r="G18" s="28"/>
      <c r="H18" s="28" t="s">
        <v>1297</v>
      </c>
      <c r="I18" s="28" t="s">
        <v>1309</v>
      </c>
      <c r="J18" s="28" t="s">
        <v>1330</v>
      </c>
    </row>
    <row r="19" spans="1:10" ht="15" x14ac:dyDescent="0.25">
      <c r="A19" s="28" t="s">
        <v>554</v>
      </c>
      <c r="B19" s="28" t="s">
        <v>1345</v>
      </c>
      <c r="C19" s="29" t="s">
        <v>1327</v>
      </c>
      <c r="D19" s="29" t="s">
        <v>1328</v>
      </c>
      <c r="E19" s="29" t="s">
        <v>1329</v>
      </c>
      <c r="F19" s="28"/>
      <c r="G19" s="28"/>
      <c r="H19" s="28" t="s">
        <v>1297</v>
      </c>
      <c r="I19" s="28" t="s">
        <v>1309</v>
      </c>
      <c r="J19" s="28" t="s">
        <v>1330</v>
      </c>
    </row>
    <row r="20" spans="1:10" ht="15" x14ac:dyDescent="0.25">
      <c r="A20" s="28" t="s">
        <v>542</v>
      </c>
      <c r="B20" s="28" t="s">
        <v>1346</v>
      </c>
      <c r="C20" s="29">
        <v>82</v>
      </c>
      <c r="D20" s="28"/>
      <c r="E20" s="29" t="s">
        <v>1329</v>
      </c>
      <c r="F20" s="28"/>
      <c r="G20" s="28"/>
      <c r="H20" s="28" t="s">
        <v>1297</v>
      </c>
      <c r="I20" s="28" t="s">
        <v>1309</v>
      </c>
      <c r="J20" s="28" t="s">
        <v>1330</v>
      </c>
    </row>
    <row r="21" spans="1:10" ht="15" x14ac:dyDescent="0.25">
      <c r="A21" s="28" t="s">
        <v>532</v>
      </c>
      <c r="B21" s="28" t="s">
        <v>1347</v>
      </c>
      <c r="C21" s="29">
        <v>82</v>
      </c>
      <c r="D21" s="28"/>
      <c r="E21" s="29" t="s">
        <v>1329</v>
      </c>
      <c r="F21" s="28"/>
      <c r="G21" s="28"/>
      <c r="H21" s="28" t="s">
        <v>1297</v>
      </c>
      <c r="I21" s="28" t="s">
        <v>1309</v>
      </c>
      <c r="J21" s="28" t="s">
        <v>1330</v>
      </c>
    </row>
    <row r="22" spans="1:10" ht="15" x14ac:dyDescent="0.25">
      <c r="A22" s="28" t="s">
        <v>498</v>
      </c>
      <c r="B22" s="28" t="s">
        <v>1348</v>
      </c>
      <c r="C22" s="29">
        <v>82</v>
      </c>
      <c r="D22" s="28"/>
      <c r="E22" s="29" t="s">
        <v>1329</v>
      </c>
      <c r="F22" s="28"/>
      <c r="G22" s="28"/>
      <c r="H22" s="28" t="s">
        <v>1297</v>
      </c>
      <c r="I22" s="28" t="s">
        <v>1309</v>
      </c>
      <c r="J22" s="28" t="s">
        <v>1330</v>
      </c>
    </row>
    <row r="23" spans="1:10" x14ac:dyDescent="0.3">
      <c r="A23" s="28" t="s">
        <v>530</v>
      </c>
      <c r="B23" s="28" t="s">
        <v>1349</v>
      </c>
      <c r="C23" s="29">
        <v>82</v>
      </c>
      <c r="D23" s="28"/>
      <c r="E23" s="29" t="s">
        <v>1329</v>
      </c>
      <c r="F23" s="28"/>
      <c r="G23" s="28"/>
      <c r="H23" s="28" t="s">
        <v>1297</v>
      </c>
      <c r="I23" s="28" t="s">
        <v>1309</v>
      </c>
      <c r="J23" s="28" t="s">
        <v>1330</v>
      </c>
    </row>
    <row r="24" spans="1:10" x14ac:dyDescent="0.3">
      <c r="A24" s="28" t="s">
        <v>516</v>
      </c>
      <c r="B24" s="28" t="s">
        <v>1350</v>
      </c>
      <c r="C24" s="29">
        <v>82</v>
      </c>
      <c r="D24" s="28"/>
      <c r="E24" s="29" t="s">
        <v>1329</v>
      </c>
      <c r="F24" s="28"/>
      <c r="G24" s="28"/>
      <c r="H24" s="28" t="s">
        <v>1297</v>
      </c>
      <c r="I24" s="28" t="s">
        <v>1309</v>
      </c>
      <c r="J24" s="28" t="s">
        <v>1330</v>
      </c>
    </row>
    <row r="25" spans="1:10" x14ac:dyDescent="0.3">
      <c r="A25" s="28" t="s">
        <v>494</v>
      </c>
      <c r="B25" s="28" t="s">
        <v>1351</v>
      </c>
      <c r="C25" s="29">
        <v>82</v>
      </c>
      <c r="D25" s="28"/>
      <c r="E25" s="29" t="s">
        <v>1329</v>
      </c>
      <c r="F25" s="28"/>
      <c r="G25" s="28"/>
      <c r="H25" s="28" t="s">
        <v>1297</v>
      </c>
      <c r="I25" s="28" t="s">
        <v>1309</v>
      </c>
      <c r="J25" s="28" t="s">
        <v>1330</v>
      </c>
    </row>
    <row r="26" spans="1:10" x14ac:dyDescent="0.3">
      <c r="A26" s="28" t="s">
        <v>512</v>
      </c>
      <c r="B26" s="28" t="s">
        <v>1352</v>
      </c>
      <c r="C26" s="29">
        <v>82</v>
      </c>
      <c r="D26" s="28"/>
      <c r="E26" s="29" t="s">
        <v>1329</v>
      </c>
      <c r="F26" s="28"/>
      <c r="G26" s="28"/>
      <c r="H26" s="28" t="s">
        <v>1297</v>
      </c>
      <c r="I26" s="28" t="s">
        <v>1309</v>
      </c>
      <c r="J26" s="28" t="s">
        <v>1330</v>
      </c>
    </row>
    <row r="27" spans="1:10" x14ac:dyDescent="0.3">
      <c r="A27" s="28" t="s">
        <v>534</v>
      </c>
      <c r="B27" s="28" t="s">
        <v>1353</v>
      </c>
      <c r="C27" s="29">
        <v>82</v>
      </c>
      <c r="D27" s="28"/>
      <c r="E27" s="29" t="s">
        <v>1329</v>
      </c>
      <c r="F27" s="28"/>
      <c r="G27" s="28"/>
      <c r="H27" s="28" t="s">
        <v>1297</v>
      </c>
      <c r="I27" s="28" t="s">
        <v>1309</v>
      </c>
      <c r="J27" s="28" t="s">
        <v>1330</v>
      </c>
    </row>
    <row r="28" spans="1:10" x14ac:dyDescent="0.3">
      <c r="A28" s="28" t="s">
        <v>526</v>
      </c>
      <c r="B28" s="28" t="s">
        <v>1354</v>
      </c>
      <c r="C28" s="29">
        <v>82</v>
      </c>
      <c r="D28" s="28"/>
      <c r="E28" s="29" t="s">
        <v>1329</v>
      </c>
      <c r="F28" s="28"/>
      <c r="G28" s="28"/>
      <c r="H28" s="28" t="s">
        <v>1297</v>
      </c>
      <c r="I28" s="28" t="s">
        <v>1309</v>
      </c>
      <c r="J28" s="28" t="s">
        <v>1330</v>
      </c>
    </row>
    <row r="29" spans="1:10" x14ac:dyDescent="0.3">
      <c r="A29" s="28" t="s">
        <v>506</v>
      </c>
      <c r="B29" s="28" t="s">
        <v>1355</v>
      </c>
      <c r="C29" s="29">
        <v>82</v>
      </c>
      <c r="D29" s="28"/>
      <c r="E29" s="29" t="s">
        <v>1329</v>
      </c>
      <c r="F29" s="28"/>
      <c r="G29" s="28"/>
      <c r="H29" s="28" t="s">
        <v>1297</v>
      </c>
      <c r="I29" s="28" t="s">
        <v>1309</v>
      </c>
      <c r="J29" s="28" t="s">
        <v>1330</v>
      </c>
    </row>
    <row r="30" spans="1:10" x14ac:dyDescent="0.3">
      <c r="A30" s="28" t="s">
        <v>538</v>
      </c>
      <c r="B30" s="28" t="s">
        <v>1356</v>
      </c>
      <c r="C30" s="29">
        <v>82</v>
      </c>
      <c r="D30" s="28"/>
      <c r="E30" s="29" t="s">
        <v>1329</v>
      </c>
      <c r="F30" s="28"/>
      <c r="G30" s="28"/>
      <c r="H30" s="28" t="s">
        <v>1297</v>
      </c>
      <c r="I30" s="28" t="s">
        <v>1309</v>
      </c>
      <c r="J30" s="28" t="s">
        <v>1330</v>
      </c>
    </row>
    <row r="31" spans="1:10" x14ac:dyDescent="0.3">
      <c r="A31" s="28" t="s">
        <v>496</v>
      </c>
      <c r="B31" s="28" t="s">
        <v>1357</v>
      </c>
      <c r="C31" s="29">
        <v>82</v>
      </c>
      <c r="D31" s="28"/>
      <c r="E31" s="29" t="s">
        <v>1329</v>
      </c>
      <c r="F31" s="28"/>
      <c r="G31" s="28"/>
      <c r="H31" s="28" t="s">
        <v>1297</v>
      </c>
      <c r="I31" s="28" t="s">
        <v>1309</v>
      </c>
      <c r="J31" s="28" t="s">
        <v>1330</v>
      </c>
    </row>
    <row r="32" spans="1:10" x14ac:dyDescent="0.3">
      <c r="A32" s="28" t="s">
        <v>435</v>
      </c>
      <c r="B32" s="28" t="s">
        <v>1358</v>
      </c>
      <c r="C32" s="29" t="s">
        <v>1327</v>
      </c>
      <c r="D32" s="29" t="s">
        <v>1328</v>
      </c>
      <c r="E32" s="29" t="s">
        <v>1359</v>
      </c>
      <c r="F32" s="28"/>
      <c r="G32" s="28"/>
      <c r="H32" s="28" t="s">
        <v>1296</v>
      </c>
      <c r="I32" s="28" t="s">
        <v>1315</v>
      </c>
      <c r="J32" s="28" t="s">
        <v>1315</v>
      </c>
    </row>
    <row r="33" spans="1:10" x14ac:dyDescent="0.3">
      <c r="A33" s="28" t="s">
        <v>413</v>
      </c>
      <c r="B33" s="28" t="s">
        <v>1360</v>
      </c>
      <c r="C33" s="29" t="s">
        <v>1327</v>
      </c>
      <c r="D33" s="29" t="s">
        <v>1328</v>
      </c>
      <c r="E33" s="29" t="s">
        <v>1359</v>
      </c>
      <c r="F33" s="28"/>
      <c r="G33" s="28"/>
      <c r="H33" s="28" t="s">
        <v>1296</v>
      </c>
      <c r="I33" s="28" t="s">
        <v>1315</v>
      </c>
      <c r="J33" s="28" t="s">
        <v>1315</v>
      </c>
    </row>
    <row r="34" spans="1:10" x14ac:dyDescent="0.3">
      <c r="A34" s="28" t="s">
        <v>429</v>
      </c>
      <c r="B34" s="28" t="s">
        <v>1361</v>
      </c>
      <c r="C34" s="29" t="s">
        <v>1327</v>
      </c>
      <c r="D34" s="29" t="s">
        <v>1328</v>
      </c>
      <c r="E34" s="29" t="s">
        <v>1359</v>
      </c>
      <c r="F34" s="28"/>
      <c r="G34" s="28"/>
      <c r="H34" s="28" t="s">
        <v>1296</v>
      </c>
      <c r="I34" s="28" t="s">
        <v>1315</v>
      </c>
      <c r="J34" s="28" t="s">
        <v>1315</v>
      </c>
    </row>
    <row r="35" spans="1:10" x14ac:dyDescent="0.3">
      <c r="A35" s="28" t="s">
        <v>17</v>
      </c>
      <c r="B35" s="28" t="s">
        <v>1362</v>
      </c>
      <c r="C35" s="29" t="s">
        <v>1327</v>
      </c>
      <c r="D35" s="29" t="s">
        <v>1328</v>
      </c>
      <c r="E35" s="29" t="s">
        <v>1359</v>
      </c>
      <c r="F35" s="28"/>
      <c r="G35" s="28"/>
      <c r="H35" s="28" t="s">
        <v>1296</v>
      </c>
      <c r="I35" s="28" t="s">
        <v>1315</v>
      </c>
      <c r="J35" s="28" t="s">
        <v>1315</v>
      </c>
    </row>
    <row r="36" spans="1:10" x14ac:dyDescent="0.3">
      <c r="A36" s="28" t="s">
        <v>427</v>
      </c>
      <c r="B36" s="28" t="s">
        <v>1363</v>
      </c>
      <c r="C36" s="29" t="s">
        <v>1364</v>
      </c>
      <c r="D36" s="29" t="s">
        <v>1328</v>
      </c>
      <c r="E36" s="29" t="s">
        <v>1329</v>
      </c>
      <c r="F36" s="28"/>
      <c r="G36" s="28"/>
      <c r="H36" s="28" t="s">
        <v>1298</v>
      </c>
      <c r="I36" s="28" t="s">
        <v>1310</v>
      </c>
      <c r="J36" s="28" t="s">
        <v>1312</v>
      </c>
    </row>
    <row r="37" spans="1:10" x14ac:dyDescent="0.3">
      <c r="A37" s="28" t="s">
        <v>399</v>
      </c>
      <c r="B37" s="28" t="s">
        <v>1365</v>
      </c>
      <c r="C37" s="29" t="s">
        <v>1364</v>
      </c>
      <c r="D37" s="29" t="s">
        <v>1328</v>
      </c>
      <c r="E37" s="29" t="s">
        <v>1329</v>
      </c>
      <c r="F37" s="28"/>
      <c r="G37" s="28"/>
      <c r="H37" s="28" t="s">
        <v>1298</v>
      </c>
      <c r="I37" s="28" t="s">
        <v>1310</v>
      </c>
      <c r="J37" s="28" t="s">
        <v>1312</v>
      </c>
    </row>
    <row r="38" spans="1:10" x14ac:dyDescent="0.3">
      <c r="A38" s="28" t="s">
        <v>409</v>
      </c>
      <c r="B38" s="28" t="s">
        <v>1366</v>
      </c>
      <c r="C38" s="29">
        <v>64</v>
      </c>
      <c r="D38" s="28"/>
      <c r="E38" s="29" t="s">
        <v>1329</v>
      </c>
      <c r="F38" s="28"/>
      <c r="G38" s="28"/>
      <c r="H38" s="28" t="s">
        <v>1298</v>
      </c>
      <c r="I38" s="28" t="s">
        <v>1310</v>
      </c>
      <c r="J38" s="28" t="s">
        <v>1312</v>
      </c>
    </row>
    <row r="39" spans="1:10" x14ac:dyDescent="0.3">
      <c r="A39" s="28" t="s">
        <v>392</v>
      </c>
      <c r="B39" s="28" t="s">
        <v>1367</v>
      </c>
      <c r="C39" s="29">
        <v>64</v>
      </c>
      <c r="D39" s="28"/>
      <c r="E39" s="29" t="s">
        <v>1329</v>
      </c>
      <c r="F39" s="28"/>
      <c r="G39" s="28"/>
      <c r="H39" s="28" t="s">
        <v>1298</v>
      </c>
      <c r="I39" s="28" t="s">
        <v>1310</v>
      </c>
      <c r="J39" s="28" t="s">
        <v>1312</v>
      </c>
    </row>
    <row r="40" spans="1:10" x14ac:dyDescent="0.3">
      <c r="A40" s="28" t="s">
        <v>390</v>
      </c>
      <c r="B40" s="28" t="s">
        <v>1368</v>
      </c>
      <c r="C40" s="29">
        <v>64</v>
      </c>
      <c r="D40" s="28"/>
      <c r="E40" s="29" t="s">
        <v>1329</v>
      </c>
      <c r="F40" s="28"/>
      <c r="G40" s="28"/>
      <c r="H40" s="28" t="s">
        <v>1298</v>
      </c>
      <c r="I40" s="28" t="s">
        <v>1310</v>
      </c>
      <c r="J40" s="28" t="s">
        <v>1312</v>
      </c>
    </row>
    <row r="41" spans="1:10" x14ac:dyDescent="0.3">
      <c r="A41" s="28" t="s">
        <v>401</v>
      </c>
      <c r="B41" s="28" t="s">
        <v>1369</v>
      </c>
      <c r="C41" s="29">
        <v>64</v>
      </c>
      <c r="D41" s="28"/>
      <c r="E41" s="29" t="s">
        <v>1329</v>
      </c>
      <c r="F41" s="28"/>
      <c r="G41" s="28"/>
      <c r="H41" s="28" t="s">
        <v>1298</v>
      </c>
      <c r="I41" s="28" t="s">
        <v>1310</v>
      </c>
      <c r="J41" s="28" t="s">
        <v>1312</v>
      </c>
    </row>
    <row r="42" spans="1:10" x14ac:dyDescent="0.3">
      <c r="A42" s="28" t="s">
        <v>405</v>
      </c>
      <c r="B42" s="28" t="s">
        <v>1370</v>
      </c>
      <c r="C42" s="29">
        <v>64</v>
      </c>
      <c r="D42" s="28"/>
      <c r="E42" s="29" t="s">
        <v>1329</v>
      </c>
      <c r="F42" s="28"/>
      <c r="G42" s="28"/>
      <c r="H42" s="28" t="s">
        <v>1298</v>
      </c>
      <c r="I42" s="28" t="s">
        <v>1310</v>
      </c>
      <c r="J42" s="28" t="s">
        <v>1312</v>
      </c>
    </row>
    <row r="43" spans="1:10" x14ac:dyDescent="0.3">
      <c r="A43" s="28" t="s">
        <v>417</v>
      </c>
      <c r="B43" s="28" t="s">
        <v>1371</v>
      </c>
      <c r="C43" s="29">
        <v>64</v>
      </c>
      <c r="D43" s="28"/>
      <c r="E43" s="29" t="s">
        <v>1329</v>
      </c>
      <c r="F43" s="28"/>
      <c r="G43" s="28"/>
      <c r="H43" s="28" t="s">
        <v>1298</v>
      </c>
      <c r="I43" s="28" t="s">
        <v>1310</v>
      </c>
      <c r="J43" s="28" t="s">
        <v>1312</v>
      </c>
    </row>
    <row r="44" spans="1:10" x14ac:dyDescent="0.3">
      <c r="A44" s="28" t="s">
        <v>407</v>
      </c>
      <c r="B44" s="28" t="s">
        <v>1372</v>
      </c>
      <c r="C44" s="29">
        <v>64</v>
      </c>
      <c r="D44" s="28"/>
      <c r="E44" s="29" t="s">
        <v>1329</v>
      </c>
      <c r="F44" s="28"/>
      <c r="G44" s="28"/>
      <c r="H44" s="28" t="s">
        <v>1298</v>
      </c>
      <c r="I44" s="28" t="s">
        <v>1310</v>
      </c>
      <c r="J44" s="28" t="s">
        <v>1312</v>
      </c>
    </row>
    <row r="45" spans="1:10" x14ac:dyDescent="0.3">
      <c r="A45" s="28" t="s">
        <v>415</v>
      </c>
      <c r="B45" s="28" t="s">
        <v>1373</v>
      </c>
      <c r="C45" s="29" t="s">
        <v>1364</v>
      </c>
      <c r="D45" s="29" t="s">
        <v>1328</v>
      </c>
      <c r="E45" s="29" t="s">
        <v>1329</v>
      </c>
      <c r="F45" s="28"/>
      <c r="G45" s="28"/>
      <c r="H45" s="28" t="s">
        <v>1298</v>
      </c>
      <c r="I45" s="28" t="s">
        <v>1310</v>
      </c>
      <c r="J45" s="28" t="s">
        <v>1312</v>
      </c>
    </row>
    <row r="46" spans="1:10" x14ac:dyDescent="0.3">
      <c r="A46" s="28" t="s">
        <v>395</v>
      </c>
      <c r="B46" s="28" t="s">
        <v>1374</v>
      </c>
      <c r="C46" s="29" t="s">
        <v>1375</v>
      </c>
      <c r="D46" s="29" t="s">
        <v>1328</v>
      </c>
      <c r="E46" s="29" t="s">
        <v>1376</v>
      </c>
      <c r="F46" s="28"/>
      <c r="G46" s="28"/>
      <c r="H46" s="28" t="s">
        <v>1295</v>
      </c>
      <c r="I46" s="28" t="s">
        <v>1310</v>
      </c>
      <c r="J46" s="28" t="s">
        <v>1312</v>
      </c>
    </row>
    <row r="47" spans="1:10" x14ac:dyDescent="0.3">
      <c r="A47" s="28" t="s">
        <v>419</v>
      </c>
      <c r="B47" s="28" t="s">
        <v>1377</v>
      </c>
      <c r="C47" s="29" t="s">
        <v>1375</v>
      </c>
      <c r="D47" s="29" t="s">
        <v>1328</v>
      </c>
      <c r="E47" s="29" t="s">
        <v>1376</v>
      </c>
      <c r="F47" s="28"/>
      <c r="G47" s="28"/>
      <c r="H47" s="28" t="s">
        <v>1295</v>
      </c>
      <c r="I47" s="28" t="s">
        <v>1310</v>
      </c>
      <c r="J47" s="28" t="s">
        <v>1312</v>
      </c>
    </row>
    <row r="48" spans="1:10" x14ac:dyDescent="0.3">
      <c r="A48" s="28" t="s">
        <v>411</v>
      </c>
      <c r="B48" s="28" t="s">
        <v>1378</v>
      </c>
      <c r="C48" s="29" t="s">
        <v>1379</v>
      </c>
      <c r="D48" s="29" t="s">
        <v>1328</v>
      </c>
      <c r="E48" s="29" t="s">
        <v>1376</v>
      </c>
      <c r="F48" s="28"/>
      <c r="G48" s="28"/>
      <c r="H48" s="28" t="s">
        <v>1295</v>
      </c>
      <c r="I48" s="28" t="s">
        <v>1310</v>
      </c>
      <c r="J48" s="28" t="s">
        <v>1312</v>
      </c>
    </row>
    <row r="49" spans="1:10" x14ac:dyDescent="0.3">
      <c r="A49" s="28" t="s">
        <v>433</v>
      </c>
      <c r="B49" s="28" t="s">
        <v>1380</v>
      </c>
      <c r="C49" s="29" t="s">
        <v>1375</v>
      </c>
      <c r="D49" s="29" t="s">
        <v>1328</v>
      </c>
      <c r="E49" s="29" t="s">
        <v>1376</v>
      </c>
      <c r="F49" s="28"/>
      <c r="G49" s="28"/>
      <c r="H49" s="28" t="s">
        <v>1295</v>
      </c>
      <c r="I49" s="28" t="s">
        <v>1310</v>
      </c>
      <c r="J49" s="28" t="s">
        <v>1312</v>
      </c>
    </row>
    <row r="50" spans="1:10" x14ac:dyDescent="0.3">
      <c r="A50" s="28" t="s">
        <v>433</v>
      </c>
      <c r="B50" s="28" t="s">
        <v>1380</v>
      </c>
      <c r="C50" s="29" t="s">
        <v>1375</v>
      </c>
      <c r="D50" s="29" t="s">
        <v>1328</v>
      </c>
      <c r="E50" s="29" t="s">
        <v>1376</v>
      </c>
      <c r="F50" s="28"/>
      <c r="G50" s="28"/>
      <c r="H50" s="28" t="s">
        <v>1295</v>
      </c>
      <c r="I50" s="28" t="s">
        <v>1310</v>
      </c>
      <c r="J50" s="28" t="s">
        <v>1312</v>
      </c>
    </row>
    <row r="51" spans="1:10" x14ac:dyDescent="0.3">
      <c r="A51" s="28" t="s">
        <v>403</v>
      </c>
      <c r="B51" s="28" t="s">
        <v>1381</v>
      </c>
      <c r="C51" s="29" t="s">
        <v>1375</v>
      </c>
      <c r="D51" s="29" t="s">
        <v>1328</v>
      </c>
      <c r="E51" s="29" t="s">
        <v>1376</v>
      </c>
      <c r="F51" s="28"/>
      <c r="G51" s="28"/>
      <c r="H51" s="28" t="s">
        <v>1295</v>
      </c>
      <c r="I51" s="28" t="s">
        <v>1310</v>
      </c>
      <c r="J51" s="28" t="s">
        <v>1312</v>
      </c>
    </row>
    <row r="52" spans="1:10" x14ac:dyDescent="0.3">
      <c r="A52" s="28" t="s">
        <v>437</v>
      </c>
      <c r="B52" s="28" t="s">
        <v>1382</v>
      </c>
      <c r="C52" s="29" t="s">
        <v>1375</v>
      </c>
      <c r="D52" s="29" t="s">
        <v>1328</v>
      </c>
      <c r="E52" s="29" t="s">
        <v>1376</v>
      </c>
      <c r="F52" s="28"/>
      <c r="G52" s="28"/>
      <c r="H52" s="28" t="s">
        <v>1295</v>
      </c>
      <c r="I52" s="28" t="s">
        <v>1310</v>
      </c>
      <c r="J52" s="28" t="s">
        <v>1312</v>
      </c>
    </row>
    <row r="53" spans="1:10" x14ac:dyDescent="0.3">
      <c r="A53" s="28" t="s">
        <v>397</v>
      </c>
      <c r="B53" s="28" t="s">
        <v>1383</v>
      </c>
      <c r="C53" s="29" t="s">
        <v>1375</v>
      </c>
      <c r="D53" s="29" t="s">
        <v>1328</v>
      </c>
      <c r="E53" s="29" t="s">
        <v>1376</v>
      </c>
      <c r="F53" s="28"/>
      <c r="G53" s="28"/>
      <c r="H53" s="28" t="s">
        <v>1295</v>
      </c>
      <c r="I53" s="28" t="s">
        <v>1310</v>
      </c>
      <c r="J53" s="28" t="s">
        <v>1312</v>
      </c>
    </row>
    <row r="54" spans="1:10" x14ac:dyDescent="0.3">
      <c r="A54" s="28" t="s">
        <v>431</v>
      </c>
      <c r="B54" s="28" t="s">
        <v>1384</v>
      </c>
      <c r="C54" s="29" t="s">
        <v>1385</v>
      </c>
      <c r="D54" s="29" t="s">
        <v>1328</v>
      </c>
      <c r="E54" s="29" t="s">
        <v>1376</v>
      </c>
      <c r="F54" s="28"/>
      <c r="G54" s="28"/>
      <c r="H54" s="28" t="s">
        <v>1295</v>
      </c>
      <c r="I54" s="28" t="s">
        <v>1310</v>
      </c>
      <c r="J54" s="28" t="s">
        <v>1312</v>
      </c>
    </row>
    <row r="55" spans="1:10" x14ac:dyDescent="0.3">
      <c r="A55" s="28" t="s">
        <v>425</v>
      </c>
      <c r="B55" s="28" t="s">
        <v>1386</v>
      </c>
      <c r="C55" s="29" t="s">
        <v>1385</v>
      </c>
      <c r="D55" s="29" t="s">
        <v>1328</v>
      </c>
      <c r="E55" s="29" t="s">
        <v>1387</v>
      </c>
      <c r="F55" s="28"/>
      <c r="G55" s="28"/>
      <c r="H55" s="28" t="s">
        <v>1295</v>
      </c>
      <c r="I55" s="28" t="s">
        <v>1310</v>
      </c>
      <c r="J55" s="28" t="s">
        <v>1312</v>
      </c>
    </row>
    <row r="56" spans="1:10" x14ac:dyDescent="0.3">
      <c r="A56" s="28" t="s">
        <v>425</v>
      </c>
      <c r="B56" s="28" t="s">
        <v>1386</v>
      </c>
      <c r="C56" s="29" t="s">
        <v>1385</v>
      </c>
      <c r="D56" s="29" t="s">
        <v>1328</v>
      </c>
      <c r="E56" s="29" t="s">
        <v>1387</v>
      </c>
      <c r="F56" s="28"/>
      <c r="G56" s="28"/>
      <c r="H56" s="28" t="s">
        <v>1295</v>
      </c>
      <c r="I56" s="28" t="s">
        <v>1310</v>
      </c>
      <c r="J56" s="28" t="s">
        <v>1312</v>
      </c>
    </row>
    <row r="57" spans="1:10" x14ac:dyDescent="0.3">
      <c r="A57" s="28" t="s">
        <v>421</v>
      </c>
      <c r="B57" s="28" t="s">
        <v>1388</v>
      </c>
      <c r="C57" s="29">
        <v>0</v>
      </c>
      <c r="D57" s="28"/>
      <c r="E57" s="29" t="s">
        <v>1376</v>
      </c>
      <c r="F57" s="28"/>
      <c r="G57" s="28"/>
      <c r="H57" s="28" t="s">
        <v>1295</v>
      </c>
      <c r="I57" s="28" t="s">
        <v>1310</v>
      </c>
      <c r="J57" s="28" t="s">
        <v>1312</v>
      </c>
    </row>
    <row r="58" spans="1:10" x14ac:dyDescent="0.3">
      <c r="A58" s="28" t="s">
        <v>423</v>
      </c>
      <c r="B58" s="28" t="s">
        <v>1389</v>
      </c>
      <c r="C58" s="29">
        <v>0</v>
      </c>
      <c r="D58" s="28"/>
      <c r="E58" s="29" t="s">
        <v>1376</v>
      </c>
      <c r="F58" s="28"/>
      <c r="G58" s="28"/>
      <c r="H58" s="28" t="s">
        <v>1295</v>
      </c>
      <c r="I58" s="28" t="s">
        <v>1310</v>
      </c>
      <c r="J58" s="28" t="s">
        <v>1312</v>
      </c>
    </row>
    <row r="59" spans="1:10" x14ac:dyDescent="0.3">
      <c r="A59" s="28" t="s">
        <v>214</v>
      </c>
      <c r="B59" s="28" t="s">
        <v>1390</v>
      </c>
      <c r="C59" s="29">
        <v>0</v>
      </c>
      <c r="D59" s="28"/>
      <c r="E59" s="29" t="s">
        <v>1359</v>
      </c>
      <c r="F59" s="28"/>
      <c r="G59" s="28"/>
      <c r="H59" s="28" t="s">
        <v>1291</v>
      </c>
      <c r="I59" s="28" t="s">
        <v>1311</v>
      </c>
      <c r="J59" s="28" t="s">
        <v>1148</v>
      </c>
    </row>
    <row r="60" spans="1:10" x14ac:dyDescent="0.3">
      <c r="A60" s="28" t="s">
        <v>1292</v>
      </c>
      <c r="B60" s="28" t="s">
        <v>1391</v>
      </c>
      <c r="C60" s="29">
        <v>0</v>
      </c>
      <c r="D60" s="28"/>
      <c r="E60" s="29" t="s">
        <v>1359</v>
      </c>
      <c r="F60" s="28"/>
      <c r="G60" s="28"/>
      <c r="H60" s="28" t="s">
        <v>1291</v>
      </c>
      <c r="I60" s="28" t="s">
        <v>1311</v>
      </c>
      <c r="J60" s="28" t="s">
        <v>1148</v>
      </c>
    </row>
    <row r="61" spans="1:10" x14ac:dyDescent="0.3">
      <c r="A61" s="28" t="s">
        <v>1293</v>
      </c>
      <c r="B61" s="28" t="s">
        <v>1392</v>
      </c>
      <c r="C61" s="29">
        <v>0</v>
      </c>
      <c r="D61" s="28"/>
      <c r="E61" s="29" t="s">
        <v>1359</v>
      </c>
      <c r="F61" s="28"/>
      <c r="G61" s="28"/>
      <c r="H61" s="28" t="s">
        <v>1291</v>
      </c>
      <c r="I61" s="28" t="s">
        <v>1311</v>
      </c>
      <c r="J61" s="28" t="s">
        <v>1148</v>
      </c>
    </row>
    <row r="62" spans="1:10" x14ac:dyDescent="0.3">
      <c r="A62" s="28" t="s">
        <v>216</v>
      </c>
      <c r="B62" s="28" t="s">
        <v>1393</v>
      </c>
      <c r="C62" s="29">
        <v>71</v>
      </c>
      <c r="D62" s="28"/>
      <c r="E62" s="29" t="s">
        <v>1359</v>
      </c>
      <c r="F62" s="28"/>
      <c r="G62" s="28"/>
      <c r="H62" s="28" t="s">
        <v>1291</v>
      </c>
      <c r="I62" s="28" t="s">
        <v>1311</v>
      </c>
      <c r="J62" s="28" t="s">
        <v>1148</v>
      </c>
    </row>
    <row r="63" spans="1:10" x14ac:dyDescent="0.3">
      <c r="A63" s="28" t="s">
        <v>1294</v>
      </c>
      <c r="B63" s="28" t="s">
        <v>1394</v>
      </c>
      <c r="C63" s="29">
        <v>71</v>
      </c>
      <c r="D63" s="28"/>
      <c r="E63" s="29" t="s">
        <v>1359</v>
      </c>
      <c r="F63" s="28"/>
      <c r="G63" s="28"/>
      <c r="H63" s="28" t="s">
        <v>1291</v>
      </c>
      <c r="I63" s="28" t="s">
        <v>1311</v>
      </c>
      <c r="J63" s="28" t="s">
        <v>1148</v>
      </c>
    </row>
    <row r="64" spans="1:10" x14ac:dyDescent="0.3">
      <c r="A64" s="28" t="s">
        <v>89</v>
      </c>
      <c r="B64" s="28" t="s">
        <v>1395</v>
      </c>
      <c r="C64" s="29">
        <v>71</v>
      </c>
      <c r="D64" s="28"/>
      <c r="E64" s="29" t="s">
        <v>1359</v>
      </c>
      <c r="F64" s="28"/>
      <c r="G64" s="28"/>
      <c r="H64" s="28" t="s">
        <v>1291</v>
      </c>
      <c r="I64" s="28" t="s">
        <v>1311</v>
      </c>
      <c r="J64" s="28" t="s">
        <v>1148</v>
      </c>
    </row>
    <row r="65" spans="1:10" x14ac:dyDescent="0.3">
      <c r="A65" s="28" t="s">
        <v>221</v>
      </c>
      <c r="B65" s="28" t="s">
        <v>1396</v>
      </c>
      <c r="C65" s="29">
        <v>71</v>
      </c>
      <c r="D65" s="28"/>
      <c r="E65" s="29" t="s">
        <v>1359</v>
      </c>
      <c r="F65" s="28"/>
      <c r="G65" s="28"/>
      <c r="H65" s="28" t="s">
        <v>1291</v>
      </c>
      <c r="I65" s="28" t="s">
        <v>1311</v>
      </c>
      <c r="J65" s="28" t="s">
        <v>1148</v>
      </c>
    </row>
    <row r="66" spans="1:10" x14ac:dyDescent="0.3">
      <c r="A66" s="28" t="s">
        <v>38</v>
      </c>
      <c r="B66" s="28" t="s">
        <v>1397</v>
      </c>
      <c r="C66" s="29" t="s">
        <v>1398</v>
      </c>
      <c r="D66" s="29" t="s">
        <v>1328</v>
      </c>
      <c r="E66" s="29" t="s">
        <v>1376</v>
      </c>
      <c r="F66" s="28"/>
      <c r="G66" s="28"/>
      <c r="H66" s="28" t="s">
        <v>1290</v>
      </c>
      <c r="I66" s="28" t="s">
        <v>1278</v>
      </c>
      <c r="J66" s="28" t="s">
        <v>1148</v>
      </c>
    </row>
    <row r="67" spans="1:10" x14ac:dyDescent="0.3">
      <c r="A67" s="28" t="s">
        <v>42</v>
      </c>
      <c r="B67" s="28" t="s">
        <v>1399</v>
      </c>
      <c r="C67" s="29">
        <v>31</v>
      </c>
      <c r="D67" s="28"/>
      <c r="E67" s="29" t="s">
        <v>1376</v>
      </c>
      <c r="F67" s="28"/>
      <c r="G67" s="28"/>
      <c r="H67" s="28" t="s">
        <v>1290</v>
      </c>
      <c r="I67" s="28" t="s">
        <v>1278</v>
      </c>
      <c r="J67" s="28" t="s">
        <v>1148</v>
      </c>
    </row>
    <row r="68" spans="1:10" x14ac:dyDescent="0.3">
      <c r="A68" s="28" t="s">
        <v>34</v>
      </c>
      <c r="B68" s="28" t="s">
        <v>1400</v>
      </c>
      <c r="C68" s="29">
        <v>31</v>
      </c>
      <c r="D68" s="28"/>
      <c r="E68" s="29" t="s">
        <v>1376</v>
      </c>
      <c r="F68" s="28"/>
      <c r="G68" s="28"/>
      <c r="H68" s="28" t="s">
        <v>1290</v>
      </c>
      <c r="I68" s="28" t="s">
        <v>1278</v>
      </c>
      <c r="J68" s="28" t="s">
        <v>1148</v>
      </c>
    </row>
    <row r="69" spans="1:10" x14ac:dyDescent="0.3">
      <c r="A69" s="28" t="s">
        <v>46</v>
      </c>
      <c r="B69" s="28" t="s">
        <v>1401</v>
      </c>
      <c r="C69" s="29">
        <v>31</v>
      </c>
      <c r="D69" s="28"/>
      <c r="E69" s="29" t="s">
        <v>1376</v>
      </c>
      <c r="F69" s="28"/>
      <c r="G69" s="28"/>
      <c r="H69" s="28" t="s">
        <v>1290</v>
      </c>
      <c r="I69" s="28" t="s">
        <v>1278</v>
      </c>
      <c r="J69" s="28" t="s">
        <v>1148</v>
      </c>
    </row>
    <row r="70" spans="1:10" x14ac:dyDescent="0.3">
      <c r="A70" s="28" t="s">
        <v>40</v>
      </c>
      <c r="B70" s="28" t="s">
        <v>1402</v>
      </c>
      <c r="C70" s="29">
        <v>31</v>
      </c>
      <c r="D70" s="28"/>
      <c r="E70" s="29" t="s">
        <v>1376</v>
      </c>
      <c r="F70" s="28"/>
      <c r="G70" s="28"/>
      <c r="H70" s="28" t="s">
        <v>1290</v>
      </c>
      <c r="I70" s="28" t="s">
        <v>1278</v>
      </c>
      <c r="J70" s="28" t="s">
        <v>1148</v>
      </c>
    </row>
    <row r="71" spans="1:10" x14ac:dyDescent="0.3">
      <c r="A71" s="28" t="s">
        <v>26</v>
      </c>
      <c r="B71" s="28" t="s">
        <v>1403</v>
      </c>
      <c r="C71" s="29" t="s">
        <v>1404</v>
      </c>
      <c r="D71" s="29" t="s">
        <v>1328</v>
      </c>
      <c r="E71" s="29" t="s">
        <v>1376</v>
      </c>
      <c r="F71" s="28"/>
      <c r="G71" s="28"/>
      <c r="H71" s="28" t="s">
        <v>1290</v>
      </c>
      <c r="I71" s="28" t="s">
        <v>1278</v>
      </c>
      <c r="J71" s="28" t="s">
        <v>1148</v>
      </c>
    </row>
    <row r="72" spans="1:10" x14ac:dyDescent="0.3">
      <c r="A72" s="28" t="s">
        <v>20</v>
      </c>
      <c r="B72" s="28" t="s">
        <v>1405</v>
      </c>
      <c r="C72" s="29">
        <v>41</v>
      </c>
      <c r="D72" s="28"/>
      <c r="E72" s="29" t="s">
        <v>1376</v>
      </c>
      <c r="F72" s="28"/>
      <c r="G72" s="28"/>
      <c r="H72" s="28" t="s">
        <v>1290</v>
      </c>
      <c r="I72" s="28" t="s">
        <v>1278</v>
      </c>
      <c r="J72" s="28" t="s">
        <v>1148</v>
      </c>
    </row>
    <row r="73" spans="1:10" x14ac:dyDescent="0.3">
      <c r="A73" s="28" t="s">
        <v>44</v>
      </c>
      <c r="B73" s="28" t="s">
        <v>1406</v>
      </c>
      <c r="C73" s="29">
        <v>41</v>
      </c>
      <c r="D73" s="28"/>
      <c r="E73" s="29" t="s">
        <v>1376</v>
      </c>
      <c r="F73" s="28"/>
      <c r="G73" s="28"/>
      <c r="H73" s="28" t="s">
        <v>1290</v>
      </c>
      <c r="I73" s="28" t="s">
        <v>1278</v>
      </c>
      <c r="J73" s="28" t="s">
        <v>1148</v>
      </c>
    </row>
    <row r="74" spans="1:10" x14ac:dyDescent="0.3">
      <c r="A74" s="28" t="s">
        <v>28</v>
      </c>
      <c r="B74" s="28" t="s">
        <v>1407</v>
      </c>
      <c r="C74" s="29">
        <v>41</v>
      </c>
      <c r="D74" s="28"/>
      <c r="E74" s="29" t="s">
        <v>1376</v>
      </c>
      <c r="F74" s="28"/>
      <c r="G74" s="28"/>
      <c r="H74" s="28" t="s">
        <v>1290</v>
      </c>
      <c r="I74" s="28" t="s">
        <v>1278</v>
      </c>
      <c r="J74" s="28" t="s">
        <v>1148</v>
      </c>
    </row>
    <row r="75" spans="1:10" x14ac:dyDescent="0.3">
      <c r="A75" s="28" t="s">
        <v>24</v>
      </c>
      <c r="B75" s="28" t="s">
        <v>1408</v>
      </c>
      <c r="C75" s="29" t="s">
        <v>1409</v>
      </c>
      <c r="D75" s="29" t="s">
        <v>1328</v>
      </c>
      <c r="E75" s="29" t="s">
        <v>1376</v>
      </c>
      <c r="F75" s="28"/>
      <c r="G75" s="28"/>
      <c r="H75" s="28" t="s">
        <v>1290</v>
      </c>
      <c r="I75" s="28" t="s">
        <v>1278</v>
      </c>
      <c r="J75" s="28" t="s">
        <v>1148</v>
      </c>
    </row>
    <row r="76" spans="1:10" x14ac:dyDescent="0.3">
      <c r="A76" s="28" t="s">
        <v>36</v>
      </c>
      <c r="B76" s="28" t="s">
        <v>1410</v>
      </c>
      <c r="C76" s="29">
        <v>81</v>
      </c>
      <c r="D76" s="28"/>
      <c r="E76" s="29" t="s">
        <v>1376</v>
      </c>
      <c r="F76" s="28"/>
      <c r="G76" s="28"/>
      <c r="H76" s="28" t="s">
        <v>1290</v>
      </c>
      <c r="I76" s="28" t="s">
        <v>1278</v>
      </c>
      <c r="J76" s="28" t="s">
        <v>1148</v>
      </c>
    </row>
    <row r="77" spans="1:10" x14ac:dyDescent="0.3">
      <c r="A77" s="28" t="s">
        <v>22</v>
      </c>
      <c r="B77" s="28" t="s">
        <v>1411</v>
      </c>
      <c r="C77" s="29">
        <v>81</v>
      </c>
      <c r="D77" s="28"/>
      <c r="E77" s="29" t="s">
        <v>1376</v>
      </c>
      <c r="F77" s="28"/>
      <c r="G77" s="28"/>
      <c r="H77" s="28" t="s">
        <v>1290</v>
      </c>
      <c r="I77" s="28" t="s">
        <v>1278</v>
      </c>
      <c r="J77" s="28" t="s">
        <v>1148</v>
      </c>
    </row>
    <row r="78" spans="1:10" x14ac:dyDescent="0.3">
      <c r="A78" s="28" t="s">
        <v>32</v>
      </c>
      <c r="B78" s="28" t="s">
        <v>1412</v>
      </c>
      <c r="C78" s="29">
        <v>81</v>
      </c>
      <c r="D78" s="28"/>
      <c r="E78" s="29" t="s">
        <v>1376</v>
      </c>
      <c r="F78" s="28"/>
      <c r="G78" s="28"/>
      <c r="H78" s="28" t="s">
        <v>1290</v>
      </c>
      <c r="I78" s="28" t="s">
        <v>1278</v>
      </c>
      <c r="J78" s="28" t="s">
        <v>1148</v>
      </c>
    </row>
    <row r="79" spans="1:10" x14ac:dyDescent="0.3">
      <c r="A79" s="28" t="s">
        <v>504</v>
      </c>
      <c r="B79" s="28" t="s">
        <v>1413</v>
      </c>
      <c r="C79" s="29">
        <v>81</v>
      </c>
      <c r="D79" s="28"/>
      <c r="E79" s="29" t="s">
        <v>1376</v>
      </c>
      <c r="F79" s="28"/>
      <c r="G79" s="28"/>
      <c r="H79" s="28" t="s">
        <v>1290</v>
      </c>
      <c r="I79" s="28" t="s">
        <v>1278</v>
      </c>
      <c r="J79" s="28" t="s">
        <v>1148</v>
      </c>
    </row>
    <row r="80" spans="1:10" x14ac:dyDescent="0.3">
      <c r="A80" s="28" t="s">
        <v>486</v>
      </c>
      <c r="B80" s="28" t="s">
        <v>1414</v>
      </c>
      <c r="C80" s="29">
        <v>81</v>
      </c>
      <c r="D80" s="28"/>
      <c r="E80" s="29" t="s">
        <v>1376</v>
      </c>
      <c r="F80" s="28"/>
      <c r="G80" s="28"/>
      <c r="H80" s="28" t="s">
        <v>1290</v>
      </c>
      <c r="I80" s="28" t="s">
        <v>1278</v>
      </c>
      <c r="J80" s="28" t="s">
        <v>1148</v>
      </c>
    </row>
    <row r="81" spans="1:10" x14ac:dyDescent="0.3">
      <c r="A81" s="28" t="s">
        <v>522</v>
      </c>
      <c r="B81" s="28" t="s">
        <v>1415</v>
      </c>
      <c r="C81" s="29">
        <v>81</v>
      </c>
      <c r="D81" s="28"/>
      <c r="E81" s="29" t="s">
        <v>1376</v>
      </c>
      <c r="F81" s="28"/>
      <c r="G81" s="28"/>
      <c r="H81" s="28" t="s">
        <v>1290</v>
      </c>
      <c r="I81" s="28" t="s">
        <v>1278</v>
      </c>
      <c r="J81" s="28" t="s">
        <v>1148</v>
      </c>
    </row>
    <row r="82" spans="1:10" x14ac:dyDescent="0.3">
      <c r="A82" s="28" t="s">
        <v>562</v>
      </c>
      <c r="B82" s="28" t="s">
        <v>1416</v>
      </c>
      <c r="C82" s="29">
        <v>81</v>
      </c>
      <c r="D82" s="28"/>
      <c r="E82" s="29" t="s">
        <v>1376</v>
      </c>
      <c r="F82" s="28"/>
      <c r="G82" s="28"/>
      <c r="H82" s="28" t="s">
        <v>1290</v>
      </c>
      <c r="I82" s="28" t="s">
        <v>1278</v>
      </c>
      <c r="J82" s="28" t="s">
        <v>1148</v>
      </c>
    </row>
    <row r="83" spans="1:10" x14ac:dyDescent="0.3">
      <c r="A83" s="28" t="s">
        <v>30</v>
      </c>
      <c r="B83" s="28" t="s">
        <v>1417</v>
      </c>
      <c r="C83" s="29">
        <v>81</v>
      </c>
      <c r="D83" s="28"/>
      <c r="E83" s="29" t="s">
        <v>1376</v>
      </c>
      <c r="F83" s="28"/>
      <c r="G83" s="28"/>
      <c r="H83" s="28" t="s">
        <v>1290</v>
      </c>
      <c r="I83" s="28" t="s">
        <v>1278</v>
      </c>
      <c r="J83" s="28" t="s">
        <v>1148</v>
      </c>
    </row>
    <row r="84" spans="1:10" x14ac:dyDescent="0.3">
      <c r="A84" s="28" t="s">
        <v>568</v>
      </c>
      <c r="B84" s="28" t="s">
        <v>1418</v>
      </c>
      <c r="C84" s="28"/>
      <c r="D84" s="28"/>
      <c r="E84" s="29" t="s">
        <v>1376</v>
      </c>
      <c r="F84" s="28"/>
      <c r="G84" s="28"/>
      <c r="H84" s="28" t="s">
        <v>1290</v>
      </c>
      <c r="I84" s="28" t="s">
        <v>1278</v>
      </c>
      <c r="J84" s="28" t="s">
        <v>1148</v>
      </c>
    </row>
    <row r="85" spans="1:10" x14ac:dyDescent="0.3">
      <c r="A85" s="28" t="s">
        <v>548</v>
      </c>
      <c r="B85" s="28" t="s">
        <v>1419</v>
      </c>
      <c r="C85" s="29">
        <v>82</v>
      </c>
      <c r="D85" s="28"/>
      <c r="E85" s="29" t="s">
        <v>1329</v>
      </c>
      <c r="F85" s="28"/>
      <c r="G85" s="28"/>
      <c r="H85" s="28" t="s">
        <v>1290</v>
      </c>
      <c r="I85" s="28" t="s">
        <v>1278</v>
      </c>
      <c r="J85" s="28" t="s">
        <v>1148</v>
      </c>
    </row>
    <row r="86" spans="1:10" x14ac:dyDescent="0.3">
      <c r="A86" s="28" t="s">
        <v>528</v>
      </c>
      <c r="B86" s="28" t="s">
        <v>1420</v>
      </c>
      <c r="C86" s="29">
        <v>82</v>
      </c>
      <c r="D86" s="28"/>
      <c r="E86" s="29" t="s">
        <v>1329</v>
      </c>
      <c r="F86" s="28"/>
      <c r="G86" s="28"/>
      <c r="H86" s="28" t="s">
        <v>1290</v>
      </c>
      <c r="I86" s="28" t="s">
        <v>1278</v>
      </c>
      <c r="J86" s="28" t="s">
        <v>1148</v>
      </c>
    </row>
  </sheetData>
  <sortState ref="A1:C84">
    <sortCondition ref="B1:B84"/>
  </sortState>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rgb="FFCC0066"/>
  </sheetPr>
  <dimension ref="A1:O48"/>
  <sheetViews>
    <sheetView topLeftCell="G1" workbookViewId="0">
      <selection activeCell="Q25" sqref="Q25"/>
    </sheetView>
  </sheetViews>
  <sheetFormatPr defaultColWidth="9.109375" defaultRowHeight="14.4" x14ac:dyDescent="0.3"/>
  <cols>
    <col min="1" max="1" width="9.109375" style="120"/>
    <col min="2" max="2" width="5.33203125" style="120" bestFit="1" customWidth="1"/>
    <col min="3" max="3" width="27.44140625" style="120" bestFit="1" customWidth="1"/>
    <col min="4" max="4" width="32.109375" style="120" bestFit="1" customWidth="1"/>
    <col min="5" max="5" width="22.33203125" style="120" bestFit="1" customWidth="1"/>
    <col min="6" max="6" width="22.33203125" style="120" customWidth="1"/>
    <col min="7" max="7" width="7.5546875" style="120" bestFit="1" customWidth="1"/>
    <col min="8" max="8" width="6.5546875" style="120" bestFit="1" customWidth="1"/>
    <col min="9" max="9" width="20.5546875" style="120" bestFit="1" customWidth="1"/>
    <col min="10" max="11" width="24.88671875" style="120" customWidth="1"/>
    <col min="12" max="12" width="13.88671875" style="120" bestFit="1" customWidth="1"/>
    <col min="13" max="13" width="8.88671875" style="120" bestFit="1" customWidth="1"/>
    <col min="14" max="14" width="11.5546875" style="386" bestFit="1" customWidth="1"/>
    <col min="15" max="15" width="23.5546875" style="386" bestFit="1" customWidth="1"/>
    <col min="16" max="16384" width="9.109375" style="120"/>
  </cols>
  <sheetData>
    <row r="1" spans="1:15" ht="15" x14ac:dyDescent="0.25">
      <c r="A1" s="120" t="s">
        <v>3494</v>
      </c>
      <c r="B1" s="120" t="s">
        <v>3023</v>
      </c>
      <c r="C1" s="120" t="s">
        <v>0</v>
      </c>
      <c r="E1" s="120" t="s">
        <v>3590</v>
      </c>
      <c r="F1" s="120" t="s">
        <v>3613</v>
      </c>
      <c r="G1" s="120" t="s">
        <v>3025</v>
      </c>
      <c r="H1" s="120" t="s">
        <v>3026</v>
      </c>
      <c r="I1" s="120" t="s">
        <v>3027</v>
      </c>
      <c r="J1" s="120" t="s">
        <v>3495</v>
      </c>
      <c r="K1" s="120" t="s">
        <v>3496</v>
      </c>
      <c r="L1" s="120" t="s">
        <v>3497</v>
      </c>
      <c r="M1" s="120" t="s">
        <v>3498</v>
      </c>
      <c r="N1" s="385" t="s">
        <v>3499</v>
      </c>
      <c r="O1" s="385" t="s">
        <v>3500</v>
      </c>
    </row>
    <row r="2" spans="1:15" ht="15" x14ac:dyDescent="0.25">
      <c r="A2" s="120">
        <v>750</v>
      </c>
      <c r="B2" s="120" t="s">
        <v>254</v>
      </c>
      <c r="C2" s="120" t="s">
        <v>3148</v>
      </c>
      <c r="D2" s="120" t="s">
        <v>2804</v>
      </c>
      <c r="E2" s="35" t="str">
        <f>VLOOKUP($B2,'Tarieven ZZP'!$B$6:$J$238,3,FALSE)</f>
        <v>Z015 ZZP 1vv incl.db</v>
      </c>
      <c r="F2" s="35">
        <f>VLOOKUP($B2,'Tarieven ZZP'!$B$6:$J$238,4,FALSE)</f>
        <v>46.543332220103473</v>
      </c>
      <c r="G2" s="35">
        <f>VLOOKUP($B2,'Tarieven ZZP'!$B$6:$J$238,5,FALSE)</f>
        <v>25.07466255282586</v>
      </c>
      <c r="H2" s="35">
        <f>VLOOKUP($B2,'Tarieven ZZP'!$B$6:$J$238,6,FALSE)</f>
        <v>26.33</v>
      </c>
      <c r="I2" s="35">
        <f>VLOOKUP($B2,'Tarieven ZZP'!$B$6:$J$238,7,FALSE)</f>
        <v>1.92</v>
      </c>
      <c r="J2" s="35">
        <f>VLOOKUP($B2,'Tarieven ZZP'!$B$6:$J$238,8,FALSE)</f>
        <v>0</v>
      </c>
      <c r="K2" s="35">
        <f>VLOOKUP($B2,'Tarieven ZZP'!$B$6:$J$238,8,FALSE)</f>
        <v>0</v>
      </c>
      <c r="L2" s="384">
        <f t="shared" ref="L2:L48" si="0">K2-J2</f>
        <v>0</v>
      </c>
      <c r="M2" s="283" t="e">
        <f>SUM(N2:O2)</f>
        <v>#DIV/0!</v>
      </c>
      <c r="N2" s="385" t="e">
        <f t="shared" ref="N2:N48" si="1">ROUND(J2/K2,2)</f>
        <v>#DIV/0!</v>
      </c>
      <c r="O2" s="385" t="e">
        <f>ROUND(L2/K2,2)</f>
        <v>#DIV/0!</v>
      </c>
    </row>
    <row r="3" spans="1:15" ht="15" x14ac:dyDescent="0.25">
      <c r="A3" s="120">
        <v>751</v>
      </c>
      <c r="B3" s="120" t="s">
        <v>298</v>
      </c>
      <c r="C3" s="120" t="s">
        <v>3149</v>
      </c>
      <c r="D3" s="120" t="s">
        <v>2805</v>
      </c>
      <c r="E3" s="35" t="str">
        <f>VLOOKUP($B3,'Tarieven ZZP'!$B$6:$J$238,3,FALSE)</f>
        <v>Z025 ZZP 2vv incl.db</v>
      </c>
      <c r="F3" s="35">
        <f>VLOOKUP($B3,'Tarieven ZZP'!$B$6:$J$238,4,FALSE)</f>
        <v>69.796531732239572</v>
      </c>
      <c r="G3" s="35">
        <f>VLOOKUP($B3,'Tarieven ZZP'!$B$6:$J$238,5,FALSE)</f>
        <v>28.711627236385482</v>
      </c>
      <c r="H3" s="35">
        <f>VLOOKUP($B3,'Tarieven ZZP'!$B$6:$J$238,6,FALSE)</f>
        <v>27.65</v>
      </c>
      <c r="I3" s="35">
        <f>VLOOKUP($B3,'Tarieven ZZP'!$B$6:$J$238,7,FALSE)</f>
        <v>1.92</v>
      </c>
      <c r="J3" s="35">
        <f>VLOOKUP($B3,'Tarieven ZZP'!$B$6:$J$238,8,FALSE)</f>
        <v>0</v>
      </c>
      <c r="K3" s="35">
        <f>VLOOKUP($B3,'Tarieven ZZP'!$B$6:$J$238,8,FALSE)</f>
        <v>0</v>
      </c>
      <c r="L3" s="384">
        <f t="shared" si="0"/>
        <v>0</v>
      </c>
      <c r="M3" s="283" t="e">
        <f t="shared" ref="M3:M48" si="2">SUM(N3:O3)</f>
        <v>#DIV/0!</v>
      </c>
      <c r="N3" s="385" t="e">
        <f t="shared" si="1"/>
        <v>#DIV/0!</v>
      </c>
      <c r="O3" s="385" t="e">
        <f t="shared" ref="O3:O48" si="3">ROUND(L3/K3,2)</f>
        <v>#DIV/0!</v>
      </c>
    </row>
    <row r="4" spans="1:15" ht="15" x14ac:dyDescent="0.25">
      <c r="A4" s="120">
        <v>752</v>
      </c>
      <c r="B4" s="120" t="s">
        <v>62</v>
      </c>
      <c r="C4" s="120" t="s">
        <v>3158</v>
      </c>
      <c r="D4" s="120" t="s">
        <v>2814</v>
      </c>
      <c r="E4" s="35" t="str">
        <f>VLOOKUP($B4,'Tarieven ZZP'!$B$6:$J$238,3,FALSE)</f>
        <v>Z033 ZZP 3vv incl.bh incl.db</v>
      </c>
      <c r="F4" s="35">
        <f>VLOOKUP($B4,'Tarieven ZZP'!$B$6:$J$238,4,FALSE)</f>
        <v>111.83456371587619</v>
      </c>
      <c r="G4" s="35">
        <f>VLOOKUP($B4,'Tarieven ZZP'!$B$6:$J$238,5,FALSE)</f>
        <v>38.215066776522747</v>
      </c>
      <c r="H4" s="35">
        <f>VLOOKUP($B4,'Tarieven ZZP'!$B$6:$J$238,6,FALSE)</f>
        <v>30.64</v>
      </c>
      <c r="I4" s="35">
        <f>VLOOKUP($B4,'Tarieven ZZP'!$B$6:$J$238,7,FALSE)</f>
        <v>2.59</v>
      </c>
      <c r="J4" s="35">
        <f>VLOOKUP($B4,'Tarieven ZZP'!$B$6:$J$238,8,FALSE)</f>
        <v>0</v>
      </c>
      <c r="K4" s="35">
        <f>VLOOKUP($B4,'Tarieven ZZP'!$B$6:$J$238,8,FALSE)</f>
        <v>0</v>
      </c>
      <c r="L4" s="384">
        <f t="shared" si="0"/>
        <v>0</v>
      </c>
      <c r="M4" s="283" t="e">
        <f t="shared" si="2"/>
        <v>#DIV/0!</v>
      </c>
      <c r="N4" s="385" t="e">
        <f t="shared" si="1"/>
        <v>#DIV/0!</v>
      </c>
      <c r="O4" s="385" t="e">
        <f t="shared" si="3"/>
        <v>#DIV/0!</v>
      </c>
    </row>
    <row r="5" spans="1:15" ht="15" x14ac:dyDescent="0.25">
      <c r="A5" s="120">
        <v>753</v>
      </c>
      <c r="B5" s="120" t="s">
        <v>342</v>
      </c>
      <c r="C5" s="120" t="s">
        <v>3159</v>
      </c>
      <c r="D5" s="120" t="s">
        <v>2815</v>
      </c>
      <c r="E5" s="35" t="str">
        <f>VLOOKUP($B5,'Tarieven ZZP'!$B$6:$J$238,3,FALSE)</f>
        <v>Z043 ZZP 4vv incl.bh incl.db</v>
      </c>
      <c r="F5" s="35">
        <f>VLOOKUP($B5,'Tarieven ZZP'!$B$6:$J$238,4,FALSE)</f>
        <v>122.73750000000001</v>
      </c>
      <c r="G5" s="35">
        <f>VLOOKUP($B5,'Tarieven ZZP'!$B$6:$J$238,5,FALSE)</f>
        <v>40.912500000000001</v>
      </c>
      <c r="H5" s="35">
        <f>VLOOKUP($B5,'Tarieven ZZP'!$B$6:$J$238,6,FALSE)</f>
        <v>31.09</v>
      </c>
      <c r="I5" s="35">
        <f>VLOOKUP($B5,'Tarieven ZZP'!$B$6:$J$238,7,FALSE)</f>
        <v>2.59</v>
      </c>
      <c r="J5" s="35">
        <f>VLOOKUP($B5,'Tarieven ZZP'!$B$6:$J$238,8,FALSE)</f>
        <v>0</v>
      </c>
      <c r="K5" s="35">
        <f>VLOOKUP($B5,'Tarieven ZZP'!$B$6:$J$238,8,FALSE)</f>
        <v>0</v>
      </c>
      <c r="L5" s="384">
        <f t="shared" si="0"/>
        <v>0</v>
      </c>
      <c r="M5" s="283" t="e">
        <f t="shared" si="2"/>
        <v>#DIV/0!</v>
      </c>
      <c r="N5" s="385" t="e">
        <f t="shared" si="1"/>
        <v>#DIV/0!</v>
      </c>
      <c r="O5" s="385" t="e">
        <f t="shared" si="3"/>
        <v>#DIV/0!</v>
      </c>
    </row>
    <row r="6" spans="1:15" ht="15" x14ac:dyDescent="0.25">
      <c r="A6" s="120">
        <v>754</v>
      </c>
      <c r="B6" s="120" t="s">
        <v>270</v>
      </c>
      <c r="C6" s="120" t="s">
        <v>3160</v>
      </c>
      <c r="D6" s="120" t="s">
        <v>2816</v>
      </c>
      <c r="E6" s="35" t="str">
        <f>VLOOKUP($B6,'Tarieven ZZP'!$B$6:$J$238,3,FALSE)</f>
        <v>Z053 ZZP 5vv incl.bh incl.db</v>
      </c>
      <c r="F6" s="35">
        <f>VLOOKUP($B6,'Tarieven ZZP'!$B$6:$J$238,4,FALSE)</f>
        <v>161.22</v>
      </c>
      <c r="G6" s="35">
        <f>VLOOKUP($B6,'Tarieven ZZP'!$B$6:$J$238,5,FALSE)</f>
        <v>53.74</v>
      </c>
      <c r="H6" s="35">
        <f>VLOOKUP($B6,'Tarieven ZZP'!$B$6:$J$238,6,FALSE)</f>
        <v>31.09</v>
      </c>
      <c r="I6" s="35">
        <f>VLOOKUP($B6,'Tarieven ZZP'!$B$6:$J$238,7,FALSE)</f>
        <v>4</v>
      </c>
      <c r="J6" s="35">
        <f>VLOOKUP($B6,'Tarieven ZZP'!$B$6:$J$238,8,FALSE)</f>
        <v>0</v>
      </c>
      <c r="K6" s="35">
        <f>VLOOKUP($B6,'Tarieven ZZP'!$B$6:$J$238,8,FALSE)</f>
        <v>0</v>
      </c>
      <c r="L6" s="384">
        <f t="shared" si="0"/>
        <v>0</v>
      </c>
      <c r="M6" s="283" t="e">
        <f t="shared" si="2"/>
        <v>#DIV/0!</v>
      </c>
      <c r="N6" s="385" t="e">
        <f t="shared" si="1"/>
        <v>#DIV/0!</v>
      </c>
      <c r="O6" s="385" t="e">
        <f t="shared" si="3"/>
        <v>#DIV/0!</v>
      </c>
    </row>
    <row r="7" spans="1:15" ht="15" x14ac:dyDescent="0.25">
      <c r="A7" s="120">
        <v>755</v>
      </c>
      <c r="B7" s="120" t="s">
        <v>284</v>
      </c>
      <c r="C7" s="120" t="s">
        <v>3161</v>
      </c>
      <c r="D7" s="120" t="s">
        <v>2817</v>
      </c>
      <c r="E7" s="35" t="str">
        <f>VLOOKUP($B7,'Tarieven ZZP'!$B$6:$J$238,3,FALSE)</f>
        <v>Z063 ZZP 6vv incl.bh incl.db</v>
      </c>
      <c r="F7" s="35">
        <f>VLOOKUP($B7,'Tarieven ZZP'!$B$6:$J$238,4,FALSE)</f>
        <v>161.5275</v>
      </c>
      <c r="G7" s="35">
        <f>VLOOKUP($B7,'Tarieven ZZP'!$B$6:$J$238,5,FALSE)</f>
        <v>53.842500000000001</v>
      </c>
      <c r="H7" s="35">
        <f>VLOOKUP($B7,'Tarieven ZZP'!$B$6:$J$238,6,FALSE)</f>
        <v>31.77</v>
      </c>
      <c r="I7" s="35">
        <f>VLOOKUP($B7,'Tarieven ZZP'!$B$6:$J$238,7,FALSE)</f>
        <v>4</v>
      </c>
      <c r="J7" s="35">
        <f>VLOOKUP($B7,'Tarieven ZZP'!$B$6:$J$238,8,FALSE)</f>
        <v>0</v>
      </c>
      <c r="K7" s="35">
        <f>VLOOKUP($B7,'Tarieven ZZP'!$B$6:$J$238,8,FALSE)</f>
        <v>0</v>
      </c>
      <c r="L7" s="384">
        <f t="shared" si="0"/>
        <v>0</v>
      </c>
      <c r="M7" s="283" t="e">
        <f t="shared" si="2"/>
        <v>#DIV/0!</v>
      </c>
      <c r="N7" s="385" t="e">
        <f t="shared" si="1"/>
        <v>#DIV/0!</v>
      </c>
      <c r="O7" s="385" t="e">
        <f t="shared" si="3"/>
        <v>#DIV/0!</v>
      </c>
    </row>
    <row r="8" spans="1:15" ht="15" x14ac:dyDescent="0.25">
      <c r="A8" s="120">
        <v>756</v>
      </c>
      <c r="B8" s="120" t="s">
        <v>164</v>
      </c>
      <c r="C8" s="120" t="s">
        <v>3162</v>
      </c>
      <c r="D8" s="120" t="s">
        <v>2818</v>
      </c>
      <c r="E8" s="35" t="str">
        <f>VLOOKUP($B8,'Tarieven ZZP'!$B$6:$J$238,3,FALSE)</f>
        <v>Z073 ZZP 7vv incl.bh incl.db</v>
      </c>
      <c r="F8" s="35">
        <f>VLOOKUP($B8,'Tarieven ZZP'!$B$6:$J$238,4,FALSE)</f>
        <v>192.3075</v>
      </c>
      <c r="G8" s="35">
        <f>VLOOKUP($B8,'Tarieven ZZP'!$B$6:$J$238,5,FALSE)</f>
        <v>64.102500000000006</v>
      </c>
      <c r="H8" s="35">
        <f>VLOOKUP($B8,'Tarieven ZZP'!$B$6:$J$238,6,FALSE)</f>
        <v>32.75</v>
      </c>
      <c r="I8" s="35">
        <f>VLOOKUP($B8,'Tarieven ZZP'!$B$6:$J$238,7,FALSE)</f>
        <v>4</v>
      </c>
      <c r="J8" s="35">
        <f>VLOOKUP($B8,'Tarieven ZZP'!$B$6:$J$238,8,FALSE)</f>
        <v>0</v>
      </c>
      <c r="K8" s="35">
        <f>VLOOKUP($B8,'Tarieven ZZP'!$B$6:$J$238,8,FALSE)</f>
        <v>0</v>
      </c>
      <c r="L8" s="384">
        <f t="shared" si="0"/>
        <v>0</v>
      </c>
      <c r="M8" s="283" t="e">
        <f t="shared" si="2"/>
        <v>#DIV/0!</v>
      </c>
      <c r="N8" s="385" t="e">
        <f t="shared" si="1"/>
        <v>#DIV/0!</v>
      </c>
      <c r="O8" s="385" t="e">
        <f t="shared" si="3"/>
        <v>#DIV/0!</v>
      </c>
    </row>
    <row r="9" spans="1:15" ht="15" x14ac:dyDescent="0.25">
      <c r="A9" s="120">
        <v>757</v>
      </c>
      <c r="B9" s="120" t="s">
        <v>371</v>
      </c>
      <c r="C9" s="120" t="s">
        <v>3163</v>
      </c>
      <c r="D9" s="120" t="s">
        <v>2819</v>
      </c>
      <c r="E9" s="35" t="str">
        <f>VLOOKUP($B9,'Tarieven ZZP'!$B$6:$J$238,3,FALSE)</f>
        <v>Z083 ZZP 8vv incl.bh incl.db</v>
      </c>
      <c r="F9" s="35">
        <f>VLOOKUP($B9,'Tarieven ZZP'!$B$6:$J$238,4,FALSE)</f>
        <v>219.40500000000003</v>
      </c>
      <c r="G9" s="35">
        <f>VLOOKUP($B9,'Tarieven ZZP'!$B$6:$J$238,5,FALSE)</f>
        <v>73.135000000000005</v>
      </c>
      <c r="H9" s="35">
        <f>VLOOKUP($B9,'Tarieven ZZP'!$B$6:$J$238,6,FALSE)</f>
        <v>33.69</v>
      </c>
      <c r="I9" s="35">
        <f>VLOOKUP($B9,'Tarieven ZZP'!$B$6:$J$238,7,FALSE)</f>
        <v>5.1100000000000003</v>
      </c>
      <c r="J9" s="35">
        <f>VLOOKUP($B9,'Tarieven ZZP'!$B$6:$J$238,8,FALSE)</f>
        <v>0</v>
      </c>
      <c r="K9" s="35">
        <f>VLOOKUP($B9,'Tarieven ZZP'!$B$6:$J$238,8,FALSE)</f>
        <v>0</v>
      </c>
      <c r="L9" s="384">
        <f t="shared" si="0"/>
        <v>0</v>
      </c>
      <c r="M9" s="283" t="e">
        <f t="shared" si="2"/>
        <v>#DIV/0!</v>
      </c>
      <c r="N9" s="385" t="e">
        <f t="shared" si="1"/>
        <v>#DIV/0!</v>
      </c>
      <c r="O9" s="385" t="e">
        <f t="shared" si="3"/>
        <v>#DIV/0!</v>
      </c>
    </row>
    <row r="10" spans="1:15" ht="15" x14ac:dyDescent="0.25">
      <c r="A10" s="120">
        <v>191</v>
      </c>
      <c r="B10" s="120" t="s">
        <v>570</v>
      </c>
      <c r="C10" s="120" t="s">
        <v>3164</v>
      </c>
      <c r="D10" s="120" t="s">
        <v>2820</v>
      </c>
      <c r="E10" s="35" t="str">
        <f>VLOOKUP($B10,'Tarieven ZZP'!$B$6:$J$238,3,FALSE)</f>
        <v>Z097 ZZP 9bvv incl.bh incl.db</v>
      </c>
      <c r="F10" s="35">
        <f>VLOOKUP($B10,'Tarieven ZZP'!$B$6:$J$238,4,FALSE)</f>
        <v>191.54249999999999</v>
      </c>
      <c r="G10" s="35">
        <f>VLOOKUP($B10,'Tarieven ZZP'!$B$6:$J$238,5,FALSE)</f>
        <v>63.847499999999997</v>
      </c>
      <c r="H10" s="35">
        <f>VLOOKUP($B10,'Tarieven ZZP'!$B$6:$J$238,6,FALSE)</f>
        <v>39.82</v>
      </c>
      <c r="I10" s="35">
        <f>VLOOKUP($B10,'Tarieven ZZP'!$B$6:$J$238,7,FALSE)</f>
        <v>5.42</v>
      </c>
      <c r="J10" s="35">
        <f>VLOOKUP($B10,'Tarieven ZZP'!$B$6:$J$238,8,FALSE)</f>
        <v>0</v>
      </c>
      <c r="K10" s="35">
        <f>VLOOKUP($B10,'Tarieven ZZP'!$B$6:$J$238,8,FALSE)</f>
        <v>0</v>
      </c>
      <c r="L10" s="384">
        <f t="shared" si="0"/>
        <v>0</v>
      </c>
      <c r="M10" s="283" t="e">
        <f t="shared" si="2"/>
        <v>#DIV/0!</v>
      </c>
      <c r="N10" s="385" t="e">
        <f t="shared" si="1"/>
        <v>#DIV/0!</v>
      </c>
      <c r="O10" s="385" t="e">
        <f t="shared" si="3"/>
        <v>#DIV/0!</v>
      </c>
    </row>
    <row r="11" spans="1:15" ht="15" x14ac:dyDescent="0.25">
      <c r="A11" s="120">
        <v>759</v>
      </c>
      <c r="B11" s="120" t="s">
        <v>130</v>
      </c>
      <c r="C11" s="120" t="s">
        <v>3165</v>
      </c>
      <c r="D11" s="120" t="s">
        <v>2821</v>
      </c>
      <c r="E11" s="35" t="str">
        <f>VLOOKUP($B11,'Tarieven ZZP'!$B$6:$J$238,3,FALSE)</f>
        <v>Z103 ZZP 10vv incl.bh incl.db</v>
      </c>
      <c r="F11" s="35">
        <f>VLOOKUP($B11,'Tarieven ZZP'!$B$6:$J$238,4,FALSE)</f>
        <v>237.34499999999997</v>
      </c>
      <c r="G11" s="35">
        <f>VLOOKUP($B11,'Tarieven ZZP'!$B$6:$J$238,5,FALSE)</f>
        <v>79.114999999999995</v>
      </c>
      <c r="H11" s="35">
        <f>VLOOKUP($B11,'Tarieven ZZP'!$B$6:$J$238,6,FALSE)</f>
        <v>33.69</v>
      </c>
      <c r="I11" s="35">
        <f>VLOOKUP($B11,'Tarieven ZZP'!$B$6:$J$238,7,FALSE)</f>
        <v>4</v>
      </c>
      <c r="J11" s="35">
        <f>VLOOKUP($B11,'Tarieven ZZP'!$B$6:$J$238,8,FALSE)</f>
        <v>0</v>
      </c>
      <c r="K11" s="35">
        <f>VLOOKUP($B11,'Tarieven ZZP'!$B$6:$J$238,8,FALSE)</f>
        <v>0</v>
      </c>
      <c r="L11" s="384">
        <f t="shared" si="0"/>
        <v>0</v>
      </c>
      <c r="M11" s="283" t="e">
        <f t="shared" si="2"/>
        <v>#DIV/0!</v>
      </c>
      <c r="N11" s="385" t="e">
        <f t="shared" si="1"/>
        <v>#DIV/0!</v>
      </c>
      <c r="O11" s="385" t="e">
        <f t="shared" si="3"/>
        <v>#DIV/0!</v>
      </c>
    </row>
    <row r="12" spans="1:15" ht="15" x14ac:dyDescent="0.25">
      <c r="A12" s="120">
        <v>860</v>
      </c>
      <c r="B12" s="120" t="s">
        <v>375</v>
      </c>
      <c r="C12" s="120" t="s">
        <v>3166</v>
      </c>
      <c r="D12" s="120" t="s">
        <v>2822</v>
      </c>
      <c r="E12" s="35" t="str">
        <f>VLOOKUP($B12,'Tarieven ZZP'!$B$6:$J$238,3,FALSE)</f>
        <v>Z212 ZZP 1ggz-b incl.bh excl.db</v>
      </c>
      <c r="F12" s="35">
        <f>VLOOKUP($B12,'Tarieven ZZP'!$B$6:$J$238,4,FALSE)</f>
        <v>52.536126454209516</v>
      </c>
      <c r="G12" s="35">
        <f>VLOOKUP($B12,'Tarieven ZZP'!$B$6:$J$238,5,FALSE)</f>
        <v>24.555894086642635</v>
      </c>
      <c r="H12" s="35">
        <f>VLOOKUP($B12,'Tarieven ZZP'!$B$6:$J$238,6,FALSE)</f>
        <v>18.25</v>
      </c>
      <c r="I12" s="35">
        <f>VLOOKUP($B12,'Tarieven ZZP'!$B$6:$J$238,7,FALSE)</f>
        <v>2.2799999999999998</v>
      </c>
      <c r="J12" s="35">
        <f>VLOOKUP($B12,'Tarieven ZZP'!$B$6:$J$238,8,FALSE)</f>
        <v>0</v>
      </c>
      <c r="K12" s="429">
        <f>VLOOKUP($B12,'Tarieven ZZP'!$B$6:$J$238,8,FALSE)</f>
        <v>0</v>
      </c>
      <c r="L12" s="384">
        <f t="shared" si="0"/>
        <v>0</v>
      </c>
      <c r="M12" s="283" t="e">
        <f t="shared" si="2"/>
        <v>#DIV/0!</v>
      </c>
      <c r="N12" s="385" t="e">
        <f t="shared" si="1"/>
        <v>#DIV/0!</v>
      </c>
      <c r="O12" s="385" t="e">
        <f t="shared" si="3"/>
        <v>#DIV/0!</v>
      </c>
    </row>
    <row r="13" spans="1:15" ht="15" x14ac:dyDescent="0.25">
      <c r="A13" s="120">
        <v>862</v>
      </c>
      <c r="B13" s="120" t="s">
        <v>315</v>
      </c>
      <c r="C13" s="120" t="s">
        <v>3167</v>
      </c>
      <c r="D13" s="120" t="s">
        <v>2823</v>
      </c>
      <c r="E13" s="35" t="str">
        <f>VLOOKUP($B13,'Tarieven ZZP'!$B$6:$J$238,3,FALSE)</f>
        <v>Z222 ZZP 2ggz-b incl.bh excl.db</v>
      </c>
      <c r="F13" s="35">
        <f>VLOOKUP($B13,'Tarieven ZZP'!$B$6:$J$238,4,FALSE)</f>
        <v>111.16601617252569</v>
      </c>
      <c r="G13" s="35">
        <f>VLOOKUP($B13,'Tarieven ZZP'!$B$6:$J$238,5,FALSE)</f>
        <v>27.819209796349149</v>
      </c>
      <c r="H13" s="35">
        <f>VLOOKUP($B13,'Tarieven ZZP'!$B$6:$J$238,6,FALSE)</f>
        <v>18.25</v>
      </c>
      <c r="I13" s="35">
        <f>VLOOKUP($B13,'Tarieven ZZP'!$B$6:$J$238,7,FALSE)</f>
        <v>2.2799999999999998</v>
      </c>
      <c r="J13" s="35">
        <f>VLOOKUP($B13,'Tarieven ZZP'!$B$6:$J$238,8,FALSE)</f>
        <v>0</v>
      </c>
      <c r="K13" s="429">
        <f>VLOOKUP($B13,'Tarieven ZZP'!$B$6:$J$238,8,FALSE)</f>
        <v>0</v>
      </c>
      <c r="L13" s="384">
        <f t="shared" si="0"/>
        <v>0</v>
      </c>
      <c r="M13" s="283" t="e">
        <f t="shared" si="2"/>
        <v>#DIV/0!</v>
      </c>
      <c r="N13" s="385" t="e">
        <f t="shared" si="1"/>
        <v>#DIV/0!</v>
      </c>
      <c r="O13" s="385" t="e">
        <f t="shared" si="3"/>
        <v>#DIV/0!</v>
      </c>
    </row>
    <row r="14" spans="1:15" ht="15" x14ac:dyDescent="0.25">
      <c r="A14" s="120">
        <v>864</v>
      </c>
      <c r="B14" s="120" t="s">
        <v>213</v>
      </c>
      <c r="C14" s="120" t="s">
        <v>3168</v>
      </c>
      <c r="D14" s="120" t="s">
        <v>2824</v>
      </c>
      <c r="E14" s="35" t="str">
        <f>VLOOKUP($B14,'Tarieven ZZP'!$B$6:$J$238,3,FALSE)</f>
        <v>Z232 ZZP 3ggz-b incl.bh excl.db</v>
      </c>
      <c r="F14" s="35">
        <f>VLOOKUP($B14,'Tarieven ZZP'!$B$6:$J$238,4,FALSE)</f>
        <v>105.7189511087348</v>
      </c>
      <c r="G14" s="35">
        <f>VLOOKUP($B14,'Tarieven ZZP'!$B$6:$J$238,5,FALSE)</f>
        <v>34.003719254977142</v>
      </c>
      <c r="H14" s="35">
        <f>VLOOKUP($B14,'Tarieven ZZP'!$B$6:$J$238,6,FALSE)</f>
        <v>24.28</v>
      </c>
      <c r="I14" s="35">
        <f>VLOOKUP($B14,'Tarieven ZZP'!$B$6:$J$238,7,FALSE)</f>
        <v>5.55</v>
      </c>
      <c r="J14" s="35">
        <f>VLOOKUP($B14,'Tarieven ZZP'!$B$6:$J$238,8,FALSE)</f>
        <v>0</v>
      </c>
      <c r="K14" s="429">
        <f>VLOOKUP($B14,'Tarieven ZZP'!$B$6:$J$238,8,FALSE)</f>
        <v>0</v>
      </c>
      <c r="L14" s="384">
        <f t="shared" si="0"/>
        <v>0</v>
      </c>
      <c r="M14" s="283" t="e">
        <f t="shared" si="2"/>
        <v>#DIV/0!</v>
      </c>
      <c r="N14" s="385" t="e">
        <f t="shared" si="1"/>
        <v>#DIV/0!</v>
      </c>
      <c r="O14" s="385" t="e">
        <f t="shared" si="3"/>
        <v>#DIV/0!</v>
      </c>
    </row>
    <row r="15" spans="1:15" ht="15" x14ac:dyDescent="0.25">
      <c r="A15" s="120">
        <v>766</v>
      </c>
      <c r="B15" s="120" t="s">
        <v>335</v>
      </c>
      <c r="C15" s="120" t="s">
        <v>3169</v>
      </c>
      <c r="D15" s="120" t="s">
        <v>2825</v>
      </c>
      <c r="E15" s="35" t="str">
        <f>VLOOKUP($B15,'Tarieven ZZP'!$B$6:$J$238,3,FALSE)</f>
        <v>Z242 ZZP 4ggz-b incl.bh excl.db</v>
      </c>
      <c r="F15" s="35">
        <f>VLOOKUP($B15,'Tarieven ZZP'!$B$6:$J$238,4,FALSE)</f>
        <v>107.3329333215767</v>
      </c>
      <c r="G15" s="35">
        <f>VLOOKUP($B15,'Tarieven ZZP'!$B$6:$J$238,5,FALSE)</f>
        <v>37.901274069223369</v>
      </c>
      <c r="H15" s="35">
        <f>VLOOKUP($B15,'Tarieven ZZP'!$B$6:$J$238,6,FALSE)</f>
        <v>24.28</v>
      </c>
      <c r="I15" s="35">
        <f>VLOOKUP($B15,'Tarieven ZZP'!$B$6:$J$238,7,FALSE)</f>
        <v>5.55</v>
      </c>
      <c r="J15" s="35">
        <f>VLOOKUP($B15,'Tarieven ZZP'!$B$6:$J$238,8,FALSE)</f>
        <v>0</v>
      </c>
      <c r="K15" s="429">
        <f>VLOOKUP($B15,'Tarieven ZZP'!$B$6:$J$238,8,FALSE)</f>
        <v>0</v>
      </c>
      <c r="L15" s="384">
        <f t="shared" si="0"/>
        <v>0</v>
      </c>
      <c r="M15" s="283" t="e">
        <f t="shared" si="2"/>
        <v>#DIV/0!</v>
      </c>
      <c r="N15" s="385" t="e">
        <f t="shared" si="1"/>
        <v>#DIV/0!</v>
      </c>
      <c r="O15" s="385" t="e">
        <f t="shared" si="3"/>
        <v>#DIV/0!</v>
      </c>
    </row>
    <row r="16" spans="1:15" ht="15" x14ac:dyDescent="0.25">
      <c r="A16" s="120">
        <v>768</v>
      </c>
      <c r="B16" s="120" t="s">
        <v>194</v>
      </c>
      <c r="C16" s="120" t="s">
        <v>3170</v>
      </c>
      <c r="D16" s="120" t="s">
        <v>2826</v>
      </c>
      <c r="E16" s="35" t="str">
        <f>VLOOKUP($B16,'Tarieven ZZP'!$B$6:$J$238,3,FALSE)</f>
        <v>Z252 ZZP 5ggz-b incl.bh excl.db</v>
      </c>
      <c r="F16" s="35">
        <f>VLOOKUP($B16,'Tarieven ZZP'!$B$6:$J$238,4,FALSE)</f>
        <v>111.44359364923433</v>
      </c>
      <c r="G16" s="35">
        <f>VLOOKUP($B16,'Tarieven ZZP'!$B$6:$J$238,5,FALSE)</f>
        <v>42.372538673894169</v>
      </c>
      <c r="H16" s="35">
        <f>VLOOKUP($B16,'Tarieven ZZP'!$B$6:$J$238,6,FALSE)</f>
        <v>33.020000000000003</v>
      </c>
      <c r="I16" s="35">
        <f>VLOOKUP($B16,'Tarieven ZZP'!$B$6:$J$238,7,FALSE)</f>
        <v>5.55</v>
      </c>
      <c r="J16" s="35">
        <f>VLOOKUP($B16,'Tarieven ZZP'!$B$6:$J$238,8,FALSE)</f>
        <v>0</v>
      </c>
      <c r="K16" s="429">
        <f>VLOOKUP($B16,'Tarieven ZZP'!$B$6:$J$238,8,FALSE)</f>
        <v>0</v>
      </c>
      <c r="L16" s="384">
        <f t="shared" si="0"/>
        <v>0</v>
      </c>
      <c r="M16" s="283" t="e">
        <f t="shared" si="2"/>
        <v>#DIV/0!</v>
      </c>
      <c r="N16" s="385" t="e">
        <f t="shared" si="1"/>
        <v>#DIV/0!</v>
      </c>
      <c r="O16" s="385" t="e">
        <f t="shared" si="3"/>
        <v>#DIV/0!</v>
      </c>
    </row>
    <row r="17" spans="1:15" ht="15" x14ac:dyDescent="0.25">
      <c r="A17" s="120">
        <v>770</v>
      </c>
      <c r="B17" s="120" t="s">
        <v>154</v>
      </c>
      <c r="C17" s="120" t="s">
        <v>3171</v>
      </c>
      <c r="D17" s="120" t="s">
        <v>2827</v>
      </c>
      <c r="E17" s="35" t="str">
        <f>VLOOKUP($B17,'Tarieven ZZP'!$B$6:$J$238,3,FALSE)</f>
        <v>Z262 ZZP 6ggz-b incl.bh excl.db</v>
      </c>
      <c r="F17" s="35">
        <f>VLOOKUP($B17,'Tarieven ZZP'!$B$6:$J$238,4,FALSE)</f>
        <v>239.40715200665261</v>
      </c>
      <c r="G17" s="35">
        <f>VLOOKUP($B17,'Tarieven ZZP'!$B$6:$J$238,5,FALSE)</f>
        <v>58.444011775354397</v>
      </c>
      <c r="H17" s="35">
        <f>VLOOKUP($B17,'Tarieven ZZP'!$B$6:$J$238,6,FALSE)</f>
        <v>29.95</v>
      </c>
      <c r="I17" s="35">
        <f>VLOOKUP($B17,'Tarieven ZZP'!$B$6:$J$238,7,FALSE)</f>
        <v>5.55</v>
      </c>
      <c r="J17" s="35">
        <f>VLOOKUP($B17,'Tarieven ZZP'!$B$6:$J$238,8,FALSE)</f>
        <v>0</v>
      </c>
      <c r="K17" s="429">
        <f>VLOOKUP($B17,'Tarieven ZZP'!$B$6:$J$238,8,FALSE)</f>
        <v>0</v>
      </c>
      <c r="L17" s="384">
        <f t="shared" si="0"/>
        <v>0</v>
      </c>
      <c r="M17" s="283" t="e">
        <f t="shared" si="2"/>
        <v>#DIV/0!</v>
      </c>
      <c r="N17" s="385" t="e">
        <f t="shared" si="1"/>
        <v>#DIV/0!</v>
      </c>
      <c r="O17" s="385" t="e">
        <f t="shared" si="3"/>
        <v>#DIV/0!</v>
      </c>
    </row>
    <row r="18" spans="1:15" ht="15" x14ac:dyDescent="0.25">
      <c r="A18" s="120">
        <v>772</v>
      </c>
      <c r="B18" s="120" t="s">
        <v>260</v>
      </c>
      <c r="C18" s="120" t="s">
        <v>3172</v>
      </c>
      <c r="D18" s="120" t="s">
        <v>2828</v>
      </c>
      <c r="E18" s="35" t="str">
        <f>VLOOKUP($B18,'Tarieven ZZP'!$B$6:$J$238,3,FALSE)</f>
        <v>Z272 ZZP 7ggz-b incl.bh excl.db</v>
      </c>
      <c r="F18" s="35">
        <f>VLOOKUP($B18,'Tarieven ZZP'!$B$6:$J$238,4,FALSE)</f>
        <v>270.95391453621744</v>
      </c>
      <c r="G18" s="35">
        <f>VLOOKUP($B18,'Tarieven ZZP'!$B$6:$J$238,5,FALSE)</f>
        <v>60.666130757409924</v>
      </c>
      <c r="H18" s="35">
        <f>VLOOKUP($B18,'Tarieven ZZP'!$B$6:$J$238,6,FALSE)</f>
        <v>34.25</v>
      </c>
      <c r="I18" s="35">
        <f>VLOOKUP($B18,'Tarieven ZZP'!$B$6:$J$238,7,FALSE)</f>
        <v>5.55</v>
      </c>
      <c r="J18" s="35">
        <f>VLOOKUP($B18,'Tarieven ZZP'!$B$6:$J$238,8,FALSE)</f>
        <v>0</v>
      </c>
      <c r="K18" s="429">
        <f>VLOOKUP($B18,'Tarieven ZZP'!$B$6:$J$238,8,FALSE)</f>
        <v>0</v>
      </c>
      <c r="L18" s="384">
        <f t="shared" si="0"/>
        <v>0</v>
      </c>
      <c r="M18" s="283" t="e">
        <f t="shared" si="2"/>
        <v>#DIV/0!</v>
      </c>
      <c r="N18" s="385" t="e">
        <f t="shared" si="1"/>
        <v>#DIV/0!</v>
      </c>
      <c r="O18" s="385" t="e">
        <f t="shared" si="3"/>
        <v>#DIV/0!</v>
      </c>
    </row>
    <row r="19" spans="1:15" ht="15" x14ac:dyDescent="0.25">
      <c r="A19" s="120">
        <v>800</v>
      </c>
      <c r="B19" s="120" t="s">
        <v>175</v>
      </c>
      <c r="C19" s="120" t="s">
        <v>3180</v>
      </c>
      <c r="D19" s="120" t="s">
        <v>2836</v>
      </c>
      <c r="E19" s="35" t="str">
        <f>VLOOKUP($B19,'Tarieven ZZP'!$B$6:$J$238,3,FALSE)</f>
        <v>Z414 ZZP 1vg excl.db</v>
      </c>
      <c r="F19" s="35">
        <f>VLOOKUP($B19,'Tarieven ZZP'!$B$6:$J$238,4,FALSE)</f>
        <v>34.807575584330735</v>
      </c>
      <c r="G19" s="35">
        <f>VLOOKUP($B19,'Tarieven ZZP'!$B$6:$J$238,5,FALSE)</f>
        <v>21.937928070118478</v>
      </c>
      <c r="H19" s="35">
        <f>VLOOKUP($B19,'Tarieven ZZP'!$B$6:$J$238,6,FALSE)</f>
        <v>24.54</v>
      </c>
      <c r="I19" s="35">
        <f>VLOOKUP($B19,'Tarieven ZZP'!$B$6:$J$238,7,FALSE)</f>
        <v>1.18</v>
      </c>
      <c r="J19" s="35">
        <f>VLOOKUP($B19,'Tarieven ZZP'!$B$6:$J$238,8,FALSE)</f>
        <v>0</v>
      </c>
      <c r="K19" s="429">
        <f>VLOOKUP($B19,'Tarieven ZZP'!$B$6:$J$238,8,FALSE)</f>
        <v>0</v>
      </c>
      <c r="L19" s="384">
        <f t="shared" si="0"/>
        <v>0</v>
      </c>
      <c r="M19" s="283" t="e">
        <f t="shared" si="2"/>
        <v>#DIV/0!</v>
      </c>
      <c r="N19" s="385" t="e">
        <f t="shared" si="1"/>
        <v>#DIV/0!</v>
      </c>
      <c r="O19" s="385" t="e">
        <f t="shared" si="3"/>
        <v>#DIV/0!</v>
      </c>
    </row>
    <row r="20" spans="1:15" ht="15" x14ac:dyDescent="0.25">
      <c r="A20" s="120">
        <v>802</v>
      </c>
      <c r="B20" s="120" t="s">
        <v>67</v>
      </c>
      <c r="C20" s="120" t="s">
        <v>3181</v>
      </c>
      <c r="D20" s="120" t="s">
        <v>2837</v>
      </c>
      <c r="E20" s="35" t="str">
        <f>VLOOKUP($B20,'Tarieven ZZP'!$B$6:$J$238,3,FALSE)</f>
        <v>Z424 ZZP 2vg excl.db</v>
      </c>
      <c r="F20" s="35">
        <f>VLOOKUP($B20,'Tarieven ZZP'!$B$6:$J$238,4,FALSE)</f>
        <v>47.537407046480602</v>
      </c>
      <c r="G20" s="35">
        <f>VLOOKUP($B20,'Tarieven ZZP'!$B$6:$J$238,5,FALSE)</f>
        <v>22.688109985819462</v>
      </c>
      <c r="H20" s="35">
        <f>VLOOKUP($B20,'Tarieven ZZP'!$B$6:$J$238,6,FALSE)</f>
        <v>24.54</v>
      </c>
      <c r="I20" s="35">
        <f>VLOOKUP($B20,'Tarieven ZZP'!$B$6:$J$238,7,FALSE)</f>
        <v>1.18</v>
      </c>
      <c r="J20" s="35">
        <f>VLOOKUP($B20,'Tarieven ZZP'!$B$6:$J$238,8,FALSE)</f>
        <v>0</v>
      </c>
      <c r="K20" s="429">
        <f>VLOOKUP($B20,'Tarieven ZZP'!$B$6:$J$238,8,FALSE)</f>
        <v>0</v>
      </c>
      <c r="L20" s="384">
        <f t="shared" si="0"/>
        <v>0</v>
      </c>
      <c r="M20" s="283" t="e">
        <f t="shared" si="2"/>
        <v>#DIV/0!</v>
      </c>
      <c r="N20" s="385" t="e">
        <f t="shared" si="1"/>
        <v>#DIV/0!</v>
      </c>
      <c r="O20" s="385" t="e">
        <f t="shared" si="3"/>
        <v>#DIV/0!</v>
      </c>
    </row>
    <row r="21" spans="1:15" ht="15" x14ac:dyDescent="0.25">
      <c r="A21" s="120">
        <v>804</v>
      </c>
      <c r="B21" s="120" t="s">
        <v>313</v>
      </c>
      <c r="C21" s="120" t="s">
        <v>3196</v>
      </c>
      <c r="D21" s="120" t="s">
        <v>2852</v>
      </c>
      <c r="E21" s="35" t="str">
        <f>VLOOKUP($B21,'Tarieven ZZP'!$B$6:$J$238,3,FALSE)</f>
        <v>Z432 ZZP 3vg incl.bh excl.db</v>
      </c>
      <c r="F21" s="35">
        <f>VLOOKUP($B21,'Tarieven ZZP'!$B$6:$J$238,4,FALSE)</f>
        <v>86.21858950541484</v>
      </c>
      <c r="G21" s="35">
        <f>VLOOKUP($B21,'Tarieven ZZP'!$B$6:$J$238,5,FALSE)</f>
        <v>30.373152996606457</v>
      </c>
      <c r="H21" s="35">
        <f>VLOOKUP($B21,'Tarieven ZZP'!$B$6:$J$238,6,FALSE)</f>
        <v>24.54</v>
      </c>
      <c r="I21" s="35">
        <f>VLOOKUP($B21,'Tarieven ZZP'!$B$6:$J$238,7,FALSE)</f>
        <v>2.41</v>
      </c>
      <c r="J21" s="35">
        <f>VLOOKUP($B21,'Tarieven ZZP'!$B$6:$J$238,8,FALSE)</f>
        <v>0</v>
      </c>
      <c r="K21" s="429">
        <f>VLOOKUP($B21,'Tarieven ZZP'!$B$6:$J$238,8,FALSE)</f>
        <v>0</v>
      </c>
      <c r="L21" s="384">
        <f t="shared" si="0"/>
        <v>0</v>
      </c>
      <c r="M21" s="283" t="e">
        <f t="shared" si="2"/>
        <v>#DIV/0!</v>
      </c>
      <c r="N21" s="385" t="e">
        <f t="shared" si="1"/>
        <v>#DIV/0!</v>
      </c>
      <c r="O21" s="385" t="e">
        <f t="shared" si="3"/>
        <v>#DIV/0!</v>
      </c>
    </row>
    <row r="22" spans="1:15" ht="15" x14ac:dyDescent="0.25">
      <c r="A22" s="120">
        <v>806</v>
      </c>
      <c r="B22" s="120" t="s">
        <v>185</v>
      </c>
      <c r="C22" s="120" t="s">
        <v>3197</v>
      </c>
      <c r="D22" s="120" t="s">
        <v>2853</v>
      </c>
      <c r="E22" s="35" t="str">
        <f>VLOOKUP($B22,'Tarieven ZZP'!$B$6:$J$238,3,FALSE)</f>
        <v>Z442 ZZP 4vg incl.bh excl.db</v>
      </c>
      <c r="F22" s="35">
        <f>VLOOKUP($B22,'Tarieven ZZP'!$B$6:$J$238,4,FALSE)</f>
        <v>117.15381127840296</v>
      </c>
      <c r="G22" s="35">
        <f>VLOOKUP($B22,'Tarieven ZZP'!$B$6:$J$238,5,FALSE)</f>
        <v>34.945582798653817</v>
      </c>
      <c r="H22" s="35">
        <f>VLOOKUP($B22,'Tarieven ZZP'!$B$6:$J$238,6,FALSE)</f>
        <v>24.54</v>
      </c>
      <c r="I22" s="35">
        <f>VLOOKUP($B22,'Tarieven ZZP'!$B$6:$J$238,7,FALSE)</f>
        <v>2.41</v>
      </c>
      <c r="J22" s="35">
        <f>VLOOKUP($B22,'Tarieven ZZP'!$B$6:$J$238,8,FALSE)</f>
        <v>0</v>
      </c>
      <c r="K22" s="429">
        <f>VLOOKUP($B22,'Tarieven ZZP'!$B$6:$J$238,8,FALSE)</f>
        <v>0</v>
      </c>
      <c r="L22" s="384">
        <f t="shared" si="0"/>
        <v>0</v>
      </c>
      <c r="M22" s="283" t="e">
        <f t="shared" si="2"/>
        <v>#DIV/0!</v>
      </c>
      <c r="N22" s="385" t="e">
        <f t="shared" si="1"/>
        <v>#DIV/0!</v>
      </c>
      <c r="O22" s="385" t="e">
        <f t="shared" si="3"/>
        <v>#DIV/0!</v>
      </c>
    </row>
    <row r="23" spans="1:15" ht="15" x14ac:dyDescent="0.25">
      <c r="A23" s="120">
        <v>808</v>
      </c>
      <c r="B23" s="120" t="s">
        <v>226</v>
      </c>
      <c r="C23" s="120" t="s">
        <v>3198</v>
      </c>
      <c r="D23" s="120" t="s">
        <v>2854</v>
      </c>
      <c r="E23" s="35" t="str">
        <f>VLOOKUP($B23,'Tarieven ZZP'!$B$6:$J$238,3,FALSE)</f>
        <v>Z456 ZZP 5vg incl.bh excl.db</v>
      </c>
      <c r="F23" s="35">
        <f>VLOOKUP($B23,'Tarieven ZZP'!$B$6:$J$238,4,FALSE)</f>
        <v>151.5464850502357</v>
      </c>
      <c r="G23" s="35">
        <f>VLOOKUP($B23,'Tarieven ZZP'!$B$6:$J$238,5,FALSE)</f>
        <v>39.167682717785944</v>
      </c>
      <c r="H23" s="35">
        <f>VLOOKUP($B23,'Tarieven ZZP'!$B$6:$J$238,6,FALSE)</f>
        <v>26.52</v>
      </c>
      <c r="I23" s="35">
        <f>VLOOKUP($B23,'Tarieven ZZP'!$B$6:$J$238,7,FALSE)</f>
        <v>7.95</v>
      </c>
      <c r="J23" s="35">
        <f>VLOOKUP($B23,'Tarieven ZZP'!$B$6:$J$238,8,FALSE)</f>
        <v>0</v>
      </c>
      <c r="K23" s="429">
        <f>VLOOKUP($B23,'Tarieven ZZP'!$B$6:$J$238,8,FALSE)</f>
        <v>0</v>
      </c>
      <c r="L23" s="384">
        <f t="shared" si="0"/>
        <v>0</v>
      </c>
      <c r="M23" s="283" t="e">
        <f t="shared" si="2"/>
        <v>#DIV/0!</v>
      </c>
      <c r="N23" s="385" t="e">
        <f t="shared" si="1"/>
        <v>#DIV/0!</v>
      </c>
      <c r="O23" s="385" t="e">
        <f t="shared" si="3"/>
        <v>#DIV/0!</v>
      </c>
    </row>
    <row r="24" spans="1:15" ht="15" x14ac:dyDescent="0.25">
      <c r="A24" s="120">
        <v>810</v>
      </c>
      <c r="B24" s="120" t="s">
        <v>91</v>
      </c>
      <c r="C24" s="120" t="s">
        <v>3199</v>
      </c>
      <c r="D24" s="120" t="s">
        <v>2855</v>
      </c>
      <c r="E24" s="35" t="str">
        <f>VLOOKUP($B24,'Tarieven ZZP'!$B$6:$J$238,3,FALSE)</f>
        <v>Z462 ZZP 6vg incl.bh excl.db</v>
      </c>
      <c r="F24" s="35">
        <f>VLOOKUP($B24,'Tarieven ZZP'!$B$6:$J$238,4,FALSE)</f>
        <v>125.53112951507032</v>
      </c>
      <c r="G24" s="35">
        <f>VLOOKUP($B24,'Tarieven ZZP'!$B$6:$J$238,5,FALSE)</f>
        <v>36.957718627927548</v>
      </c>
      <c r="H24" s="35">
        <f>VLOOKUP($B24,'Tarieven ZZP'!$B$6:$J$238,6,FALSE)</f>
        <v>26.52</v>
      </c>
      <c r="I24" s="35">
        <f>VLOOKUP($B24,'Tarieven ZZP'!$B$6:$J$238,7,FALSE)</f>
        <v>5.72</v>
      </c>
      <c r="J24" s="35">
        <f>VLOOKUP($B24,'Tarieven ZZP'!$B$6:$J$238,8,FALSE)</f>
        <v>0</v>
      </c>
      <c r="K24" s="429">
        <f>VLOOKUP($B24,'Tarieven ZZP'!$B$6:$J$238,8,FALSE)</f>
        <v>0</v>
      </c>
      <c r="L24" s="384">
        <f t="shared" si="0"/>
        <v>0</v>
      </c>
      <c r="M24" s="283" t="e">
        <f t="shared" si="2"/>
        <v>#DIV/0!</v>
      </c>
      <c r="N24" s="385" t="e">
        <f t="shared" si="1"/>
        <v>#DIV/0!</v>
      </c>
      <c r="O24" s="385" t="e">
        <f t="shared" si="3"/>
        <v>#DIV/0!</v>
      </c>
    </row>
    <row r="25" spans="1:15" ht="15" x14ac:dyDescent="0.25">
      <c r="A25" s="120">
        <v>812</v>
      </c>
      <c r="B25" s="120" t="s">
        <v>382</v>
      </c>
      <c r="C25" s="120" t="s">
        <v>3200</v>
      </c>
      <c r="D25" s="120" t="s">
        <v>2856</v>
      </c>
      <c r="E25" s="35" t="str">
        <f>VLOOKUP($B25,'Tarieven ZZP'!$B$6:$J$238,3,FALSE)</f>
        <v>Z472 ZZP 7vg incl.bh excl.db</v>
      </c>
      <c r="F25" s="35">
        <f>VLOOKUP($B25,'Tarieven ZZP'!$B$6:$J$238,4,FALSE)</f>
        <v>193.54835158358637</v>
      </c>
      <c r="G25" s="35">
        <f>VLOOKUP($B25,'Tarieven ZZP'!$B$6:$J$238,5,FALSE)</f>
        <v>45.962254898072935</v>
      </c>
      <c r="H25" s="35">
        <f>VLOOKUP($B25,'Tarieven ZZP'!$B$6:$J$238,6,FALSE)</f>
        <v>26.52</v>
      </c>
      <c r="I25" s="35">
        <f>VLOOKUP($B25,'Tarieven ZZP'!$B$6:$J$238,7,FALSE)</f>
        <v>7.95</v>
      </c>
      <c r="J25" s="35">
        <f>VLOOKUP($B25,'Tarieven ZZP'!$B$6:$J$238,8,FALSE)</f>
        <v>0</v>
      </c>
      <c r="K25" s="429">
        <f>VLOOKUP($B25,'Tarieven ZZP'!$B$6:$J$238,8,FALSE)</f>
        <v>0</v>
      </c>
      <c r="L25" s="384">
        <f t="shared" si="0"/>
        <v>0</v>
      </c>
      <c r="M25" s="283" t="e">
        <f t="shared" si="2"/>
        <v>#DIV/0!</v>
      </c>
      <c r="N25" s="385" t="e">
        <f t="shared" si="1"/>
        <v>#DIV/0!</v>
      </c>
      <c r="O25" s="385" t="e">
        <f t="shared" si="3"/>
        <v>#DIV/0!</v>
      </c>
    </row>
    <row r="26" spans="1:15" ht="15" x14ac:dyDescent="0.25">
      <c r="A26" s="120">
        <v>814</v>
      </c>
      <c r="B26" s="120" t="s">
        <v>122</v>
      </c>
      <c r="C26" s="120" t="s">
        <v>3201</v>
      </c>
      <c r="D26" s="120" t="s">
        <v>2857</v>
      </c>
      <c r="E26" s="35" t="str">
        <f>VLOOKUP($B26,'Tarieven ZZP'!$B$6:$J$238,3,FALSE)</f>
        <v>Z482 ZZP 8vg incl.bh excl.db</v>
      </c>
      <c r="F26" s="35">
        <f>VLOOKUP($B26,'Tarieven ZZP'!$B$6:$J$238,4,FALSE)</f>
        <v>181.55492500965315</v>
      </c>
      <c r="G26" s="35">
        <f>VLOOKUP($B26,'Tarieven ZZP'!$B$6:$J$238,5,FALSE)</f>
        <v>43.298425080202847</v>
      </c>
      <c r="H26" s="35">
        <f>VLOOKUP($B26,'Tarieven ZZP'!$B$6:$J$238,6,FALSE)</f>
        <v>34.299999999999997</v>
      </c>
      <c r="I26" s="35">
        <f>VLOOKUP($B26,'Tarieven ZZP'!$B$6:$J$238,7,FALSE)</f>
        <v>7.95</v>
      </c>
      <c r="J26" s="35">
        <f>VLOOKUP($B26,'Tarieven ZZP'!$B$6:$J$238,8,FALSE)</f>
        <v>0</v>
      </c>
      <c r="K26" s="429">
        <f>VLOOKUP($B26,'Tarieven ZZP'!$B$6:$J$238,8,FALSE)</f>
        <v>0</v>
      </c>
      <c r="L26" s="384">
        <f t="shared" si="0"/>
        <v>0</v>
      </c>
      <c r="M26" s="283" t="e">
        <f t="shared" si="2"/>
        <v>#DIV/0!</v>
      </c>
      <c r="N26" s="385" t="e">
        <f t="shared" si="1"/>
        <v>#DIV/0!</v>
      </c>
      <c r="O26" s="385" t="e">
        <f t="shared" si="3"/>
        <v>#DIV/0!</v>
      </c>
    </row>
    <row r="27" spans="1:15" x14ac:dyDescent="0.3">
      <c r="A27" s="120">
        <v>780</v>
      </c>
      <c r="B27" s="120" t="s">
        <v>132</v>
      </c>
      <c r="C27" s="120" t="s">
        <v>3208</v>
      </c>
      <c r="D27" s="120" t="s">
        <v>2864</v>
      </c>
      <c r="E27" s="35" t="str">
        <f>VLOOKUP($B27,'Tarieven ZZP'!$B$6:$J$238,3,FALSE)</f>
        <v>Z513 ZZP 1lvg incl.bh incl.db</v>
      </c>
      <c r="F27" s="35">
        <f>VLOOKUP($B27,'Tarieven ZZP'!$B$6:$J$238,4,FALSE)</f>
        <v>143.7365023209382</v>
      </c>
      <c r="G27" s="35">
        <f>VLOOKUP($B27,'Tarieven ZZP'!$B$6:$J$238,5,FALSE)</f>
        <v>39.107430769130026</v>
      </c>
      <c r="H27" s="35">
        <f>VLOOKUP($B27,'Tarieven ZZP'!$B$6:$J$238,6,FALSE)</f>
        <v>32.01</v>
      </c>
      <c r="I27" s="35">
        <f>VLOOKUP($B27,'Tarieven ZZP'!$B$6:$J$238,7,FALSE)</f>
        <v>3.41</v>
      </c>
      <c r="J27" s="35">
        <f>VLOOKUP($B27,'Tarieven ZZP'!$B$6:$J$238,8,FALSE)</f>
        <v>0</v>
      </c>
      <c r="K27" s="429">
        <f>VLOOKUP($B27,'Tarieven ZZP'!$B$6:$J$238,8,FALSE)</f>
        <v>0</v>
      </c>
      <c r="L27" s="384">
        <f t="shared" si="0"/>
        <v>0</v>
      </c>
      <c r="M27" s="283" t="e">
        <f t="shared" si="2"/>
        <v>#DIV/0!</v>
      </c>
      <c r="N27" s="385" t="e">
        <f t="shared" si="1"/>
        <v>#DIV/0!</v>
      </c>
      <c r="O27" s="385" t="e">
        <f t="shared" si="3"/>
        <v>#DIV/0!</v>
      </c>
    </row>
    <row r="28" spans="1:15" x14ac:dyDescent="0.3">
      <c r="A28" s="120">
        <v>781</v>
      </c>
      <c r="B28" s="120" t="s">
        <v>388</v>
      </c>
      <c r="C28" s="120" t="s">
        <v>3209</v>
      </c>
      <c r="D28" s="120" t="s">
        <v>2865</v>
      </c>
      <c r="E28" s="35" t="str">
        <f>VLOOKUP($B28,'Tarieven ZZP'!$B$6:$J$238,3,FALSE)</f>
        <v>Z523 ZZP 2lvg incl.bh incl.db</v>
      </c>
      <c r="F28" s="35">
        <f>VLOOKUP($B28,'Tarieven ZZP'!$B$6:$J$238,4,FALSE)</f>
        <v>179.19890889130627</v>
      </c>
      <c r="G28" s="35">
        <f>VLOOKUP($B28,'Tarieven ZZP'!$B$6:$J$238,5,FALSE)</f>
        <v>44.96328708151735</v>
      </c>
      <c r="H28" s="35">
        <f>VLOOKUP($B28,'Tarieven ZZP'!$B$6:$J$238,6,FALSE)</f>
        <v>32.01</v>
      </c>
      <c r="I28" s="35">
        <f>VLOOKUP($B28,'Tarieven ZZP'!$B$6:$J$238,7,FALSE)</f>
        <v>3.41</v>
      </c>
      <c r="J28" s="35">
        <f>VLOOKUP($B28,'Tarieven ZZP'!$B$6:$J$238,8,FALSE)</f>
        <v>0</v>
      </c>
      <c r="K28" s="429">
        <f>VLOOKUP($B28,'Tarieven ZZP'!$B$6:$J$238,8,FALSE)</f>
        <v>0</v>
      </c>
      <c r="L28" s="384">
        <f t="shared" si="0"/>
        <v>0</v>
      </c>
      <c r="M28" s="283" t="e">
        <f t="shared" si="2"/>
        <v>#DIV/0!</v>
      </c>
      <c r="N28" s="385" t="e">
        <f t="shared" si="1"/>
        <v>#DIV/0!</v>
      </c>
      <c r="O28" s="385" t="e">
        <f t="shared" si="3"/>
        <v>#DIV/0!</v>
      </c>
    </row>
    <row r="29" spans="1:15" x14ac:dyDescent="0.3">
      <c r="A29" s="120">
        <v>782</v>
      </c>
      <c r="B29" s="120" t="s">
        <v>145</v>
      </c>
      <c r="C29" s="120" t="s">
        <v>3210</v>
      </c>
      <c r="D29" s="120" t="s">
        <v>2866</v>
      </c>
      <c r="E29" s="35" t="str">
        <f>VLOOKUP($B29,'Tarieven ZZP'!$B$6:$J$238,3,FALSE)</f>
        <v>Z533 ZZP 3lvg incl.bh incl.db</v>
      </c>
      <c r="F29" s="35">
        <f>VLOOKUP($B29,'Tarieven ZZP'!$B$6:$J$238,4,FALSE)</f>
        <v>235.7732969370258</v>
      </c>
      <c r="G29" s="35">
        <f>VLOOKUP($B29,'Tarieven ZZP'!$B$6:$J$238,5,FALSE)</f>
        <v>53.427060960450589</v>
      </c>
      <c r="H29" s="35">
        <f>VLOOKUP($B29,'Tarieven ZZP'!$B$6:$J$238,6,FALSE)</f>
        <v>41.64</v>
      </c>
      <c r="I29" s="35">
        <f>VLOOKUP($B29,'Tarieven ZZP'!$B$6:$J$238,7,FALSE)</f>
        <v>6.54</v>
      </c>
      <c r="J29" s="35">
        <f>VLOOKUP($B29,'Tarieven ZZP'!$B$6:$J$238,8,FALSE)</f>
        <v>0</v>
      </c>
      <c r="K29" s="429">
        <f>VLOOKUP($B29,'Tarieven ZZP'!$B$6:$J$238,8,FALSE)</f>
        <v>0</v>
      </c>
      <c r="L29" s="384">
        <f t="shared" si="0"/>
        <v>0</v>
      </c>
      <c r="M29" s="283" t="e">
        <f t="shared" si="2"/>
        <v>#DIV/0!</v>
      </c>
      <c r="N29" s="385" t="e">
        <f t="shared" si="1"/>
        <v>#DIV/0!</v>
      </c>
      <c r="O29" s="385" t="e">
        <f t="shared" si="3"/>
        <v>#DIV/0!</v>
      </c>
    </row>
    <row r="30" spans="1:15" x14ac:dyDescent="0.3">
      <c r="A30" s="120">
        <v>783</v>
      </c>
      <c r="B30" s="120" t="s">
        <v>333</v>
      </c>
      <c r="C30" s="120" t="s">
        <v>3211</v>
      </c>
      <c r="D30" s="120" t="s">
        <v>2867</v>
      </c>
      <c r="E30" s="35" t="str">
        <f>VLOOKUP($B30,'Tarieven ZZP'!$B$6:$J$238,3,FALSE)</f>
        <v>Z543 ZZP 4lvg incl.bh incl.db</v>
      </c>
      <c r="F30" s="35">
        <f>VLOOKUP($B30,'Tarieven ZZP'!$B$6:$J$238,4,FALSE)</f>
        <v>281.31474689899903</v>
      </c>
      <c r="G30" s="35">
        <f>VLOOKUP($B30,'Tarieven ZZP'!$B$6:$J$238,5,FALSE)</f>
        <v>56.024972658588425</v>
      </c>
      <c r="H30" s="35">
        <f>VLOOKUP($B30,'Tarieven ZZP'!$B$6:$J$238,6,FALSE)</f>
        <v>41.64</v>
      </c>
      <c r="I30" s="35">
        <f>VLOOKUP($B30,'Tarieven ZZP'!$B$6:$J$238,7,FALSE)</f>
        <v>6.54</v>
      </c>
      <c r="J30" s="35">
        <f>VLOOKUP($B30,'Tarieven ZZP'!$B$6:$J$238,8,FALSE)</f>
        <v>0</v>
      </c>
      <c r="K30" s="429">
        <f>VLOOKUP($B30,'Tarieven ZZP'!$B$6:$J$238,8,FALSE)</f>
        <v>0</v>
      </c>
      <c r="L30" s="384">
        <f t="shared" si="0"/>
        <v>0</v>
      </c>
      <c r="M30" s="283" t="e">
        <f t="shared" si="2"/>
        <v>#DIV/0!</v>
      </c>
      <c r="N30" s="385" t="e">
        <f t="shared" si="1"/>
        <v>#DIV/0!</v>
      </c>
      <c r="O30" s="385" t="e">
        <f t="shared" si="3"/>
        <v>#DIV/0!</v>
      </c>
    </row>
    <row r="31" spans="1:15" x14ac:dyDescent="0.3">
      <c r="A31" s="120">
        <v>784</v>
      </c>
      <c r="B31" s="120" t="s">
        <v>354</v>
      </c>
      <c r="C31" s="120" t="s">
        <v>3212</v>
      </c>
      <c r="D31" s="120" t="s">
        <v>2868</v>
      </c>
      <c r="E31" s="35" t="str">
        <f>VLOOKUP($B31,'Tarieven ZZP'!$B$6:$J$238,3,FALSE)</f>
        <v>Z553 ZZP 5lvg incl.bh incl.db</v>
      </c>
      <c r="F31" s="35">
        <f>VLOOKUP($B31,'Tarieven ZZP'!$B$6:$J$238,4,FALSE)</f>
        <v>263.84349568331595</v>
      </c>
      <c r="G31" s="35">
        <f>VLOOKUP($B31,'Tarieven ZZP'!$B$6:$J$238,5,FALSE)</f>
        <v>55.776835163741971</v>
      </c>
      <c r="H31" s="35">
        <f>VLOOKUP($B31,'Tarieven ZZP'!$B$6:$J$238,6,FALSE)</f>
        <v>41.64</v>
      </c>
      <c r="I31" s="35">
        <f>VLOOKUP($B31,'Tarieven ZZP'!$B$6:$J$238,7,FALSE)</f>
        <v>6.54</v>
      </c>
      <c r="J31" s="35">
        <f>VLOOKUP($B31,'Tarieven ZZP'!$B$6:$J$238,8,FALSE)</f>
        <v>0</v>
      </c>
      <c r="K31" s="429">
        <f>VLOOKUP($B31,'Tarieven ZZP'!$B$6:$J$238,8,FALSE)</f>
        <v>0</v>
      </c>
      <c r="L31" s="384">
        <f t="shared" si="0"/>
        <v>0</v>
      </c>
      <c r="M31" s="283" t="e">
        <f t="shared" si="2"/>
        <v>#DIV/0!</v>
      </c>
      <c r="N31" s="385" t="e">
        <f t="shared" si="1"/>
        <v>#DIV/0!</v>
      </c>
      <c r="O31" s="385" t="e">
        <f t="shared" si="3"/>
        <v>#DIV/0!</v>
      </c>
    </row>
    <row r="32" spans="1:15" x14ac:dyDescent="0.3">
      <c r="A32" s="120">
        <v>790</v>
      </c>
      <c r="B32" s="120" t="s">
        <v>564</v>
      </c>
      <c r="C32" s="120" t="s">
        <v>3213</v>
      </c>
      <c r="D32" s="120" t="s">
        <v>2869</v>
      </c>
      <c r="E32" s="35" t="str">
        <f>VLOOKUP($B32,'Tarieven ZZP'!$B$6:$J$238,3,FALSE)</f>
        <v>Z573 ZZP 1sglvg incl.bh incl.db</v>
      </c>
      <c r="F32" s="35">
        <f>VLOOKUP($B32,'Tarieven ZZP'!$B$6:$J$238,4,FALSE)</f>
        <v>278.03249999999997</v>
      </c>
      <c r="G32" s="35">
        <f>VLOOKUP($B32,'Tarieven ZZP'!$B$6:$J$238,5,FALSE)</f>
        <v>92.677499999999995</v>
      </c>
      <c r="H32" s="35">
        <f>VLOOKUP($B32,'Tarieven ZZP'!$B$6:$J$238,6,FALSE)</f>
        <v>41.64</v>
      </c>
      <c r="I32" s="35">
        <f>VLOOKUP($B32,'Tarieven ZZP'!$B$6:$J$238,7,FALSE)</f>
        <v>8.81</v>
      </c>
      <c r="J32" s="35">
        <f>VLOOKUP($B32,'Tarieven ZZP'!$B$6:$J$238,8,FALSE)</f>
        <v>0</v>
      </c>
      <c r="K32" s="429">
        <f>VLOOKUP($B32,'Tarieven ZZP'!$B$6:$J$238,8,FALSE)</f>
        <v>0</v>
      </c>
      <c r="L32" s="384">
        <f t="shared" si="0"/>
        <v>0</v>
      </c>
      <c r="M32" s="283" t="e">
        <f t="shared" si="2"/>
        <v>#DIV/0!</v>
      </c>
      <c r="N32" s="385" t="e">
        <f t="shared" si="1"/>
        <v>#DIV/0!</v>
      </c>
      <c r="O32" s="385" t="e">
        <f t="shared" si="3"/>
        <v>#DIV/0!</v>
      </c>
    </row>
    <row r="33" spans="1:15" x14ac:dyDescent="0.3">
      <c r="A33" s="120">
        <v>820</v>
      </c>
      <c r="B33" s="120" t="s">
        <v>133</v>
      </c>
      <c r="C33" s="120" t="s">
        <v>3214</v>
      </c>
      <c r="D33" s="120" t="s">
        <v>2870</v>
      </c>
      <c r="E33" s="35" t="str">
        <f>VLOOKUP($B33,'Tarieven ZZP'!$B$6:$J$238,3,FALSE)</f>
        <v>Z614 ZZP 1lg excl.db</v>
      </c>
      <c r="F33" s="35">
        <f>VLOOKUP($B33,'Tarieven ZZP'!$B$6:$J$238,4,FALSE)</f>
        <v>63.44173492316488</v>
      </c>
      <c r="G33" s="35">
        <f>VLOOKUP($B33,'Tarieven ZZP'!$B$6:$J$238,5,FALSE)</f>
        <v>27.151069885885907</v>
      </c>
      <c r="H33" s="35">
        <f>VLOOKUP($B33,'Tarieven ZZP'!$B$6:$J$238,6,FALSE)</f>
        <v>24.54</v>
      </c>
      <c r="I33" s="35">
        <f>VLOOKUP($B33,'Tarieven ZZP'!$B$6:$J$238,7,FALSE)</f>
        <v>1.77</v>
      </c>
      <c r="J33" s="35">
        <f>VLOOKUP($B33,'Tarieven ZZP'!$B$6:$J$238,8,FALSE)</f>
        <v>0</v>
      </c>
      <c r="K33" s="429">
        <f>VLOOKUP($B33,'Tarieven ZZP'!$B$6:$J$238,8,FALSE)</f>
        <v>0</v>
      </c>
      <c r="L33" s="384">
        <f t="shared" si="0"/>
        <v>0</v>
      </c>
      <c r="M33" s="283" t="e">
        <f t="shared" si="2"/>
        <v>#DIV/0!</v>
      </c>
      <c r="N33" s="385" t="e">
        <f t="shared" si="1"/>
        <v>#DIV/0!</v>
      </c>
      <c r="O33" s="385" t="e">
        <f t="shared" si="3"/>
        <v>#DIV/0!</v>
      </c>
    </row>
    <row r="34" spans="1:15" x14ac:dyDescent="0.3">
      <c r="A34" s="120">
        <v>822</v>
      </c>
      <c r="B34" s="120" t="s">
        <v>338</v>
      </c>
      <c r="C34" s="120" t="s">
        <v>3215</v>
      </c>
      <c r="D34" s="120" t="s">
        <v>2871</v>
      </c>
      <c r="E34" s="35" t="str">
        <f>VLOOKUP($B34,'Tarieven ZZP'!$B$6:$J$238,3,FALSE)</f>
        <v>Z624 ZZP 2lg excl.db</v>
      </c>
      <c r="F34" s="35">
        <f>VLOOKUP($B34,'Tarieven ZZP'!$B$6:$J$238,4,FALSE)</f>
        <v>92.856642143083491</v>
      </c>
      <c r="G34" s="35">
        <f>VLOOKUP($B34,'Tarieven ZZP'!$B$6:$J$238,5,FALSE)</f>
        <v>29.784918447301283</v>
      </c>
      <c r="H34" s="35">
        <f>VLOOKUP($B34,'Tarieven ZZP'!$B$6:$J$238,6,FALSE)</f>
        <v>24.54</v>
      </c>
      <c r="I34" s="35">
        <f>VLOOKUP($B34,'Tarieven ZZP'!$B$6:$J$238,7,FALSE)</f>
        <v>1.77</v>
      </c>
      <c r="J34" s="35">
        <f>VLOOKUP($B34,'Tarieven ZZP'!$B$6:$J$238,8,FALSE)</f>
        <v>0</v>
      </c>
      <c r="K34" s="429">
        <f>VLOOKUP($B34,'Tarieven ZZP'!$B$6:$J$238,8,FALSE)</f>
        <v>0</v>
      </c>
      <c r="L34" s="384">
        <f t="shared" si="0"/>
        <v>0</v>
      </c>
      <c r="M34" s="283" t="e">
        <f t="shared" si="2"/>
        <v>#DIV/0!</v>
      </c>
      <c r="N34" s="385" t="e">
        <f t="shared" si="1"/>
        <v>#DIV/0!</v>
      </c>
      <c r="O34" s="385" t="e">
        <f t="shared" si="3"/>
        <v>#DIV/0!</v>
      </c>
    </row>
    <row r="35" spans="1:15" x14ac:dyDescent="0.3">
      <c r="A35" s="120">
        <v>824</v>
      </c>
      <c r="B35" s="120" t="s">
        <v>331</v>
      </c>
      <c r="C35" s="120" t="s">
        <v>3228</v>
      </c>
      <c r="D35" s="120" t="s">
        <v>2884</v>
      </c>
      <c r="E35" s="35" t="str">
        <f>VLOOKUP($B35,'Tarieven ZZP'!$B$6:$J$238,3,FALSE)</f>
        <v>Z632 ZZP 3lg incl.bh excl.db</v>
      </c>
      <c r="F35" s="35">
        <f>VLOOKUP($B35,'Tarieven ZZP'!$B$6:$J$238,4,FALSE)</f>
        <v>84.389353795312019</v>
      </c>
      <c r="G35" s="35">
        <f>VLOOKUP($B35,'Tarieven ZZP'!$B$6:$J$238,5,FALSE)</f>
        <v>30.788129389520982</v>
      </c>
      <c r="H35" s="35">
        <f>VLOOKUP($B35,'Tarieven ZZP'!$B$6:$J$238,6,FALSE)</f>
        <v>24.54</v>
      </c>
      <c r="I35" s="35">
        <f>VLOOKUP($B35,'Tarieven ZZP'!$B$6:$J$238,7,FALSE)</f>
        <v>3.19</v>
      </c>
      <c r="J35" s="35">
        <f>VLOOKUP($B35,'Tarieven ZZP'!$B$6:$J$238,8,FALSE)</f>
        <v>0</v>
      </c>
      <c r="K35" s="429">
        <f>VLOOKUP($B35,'Tarieven ZZP'!$B$6:$J$238,8,FALSE)</f>
        <v>0</v>
      </c>
      <c r="L35" s="384">
        <f t="shared" si="0"/>
        <v>0</v>
      </c>
      <c r="M35" s="283" t="e">
        <f t="shared" si="2"/>
        <v>#DIV/0!</v>
      </c>
      <c r="N35" s="385" t="e">
        <f t="shared" si="1"/>
        <v>#DIV/0!</v>
      </c>
      <c r="O35" s="385" t="e">
        <f t="shared" si="3"/>
        <v>#DIV/0!</v>
      </c>
    </row>
    <row r="36" spans="1:15" x14ac:dyDescent="0.3">
      <c r="A36" s="120">
        <v>826</v>
      </c>
      <c r="B36" s="120" t="s">
        <v>118</v>
      </c>
      <c r="C36" s="120" t="s">
        <v>3229</v>
      </c>
      <c r="D36" s="120" t="s">
        <v>2885</v>
      </c>
      <c r="E36" s="35" t="str">
        <f>VLOOKUP($B36,'Tarieven ZZP'!$B$6:$J$238,3,FALSE)</f>
        <v>Z642 ZZP 4lg incl.bh excl.db</v>
      </c>
      <c r="F36" s="35">
        <f>VLOOKUP($B36,'Tarieven ZZP'!$B$6:$J$238,4,FALSE)</f>
        <v>141.30117594880608</v>
      </c>
      <c r="G36" s="35">
        <f>VLOOKUP($B36,'Tarieven ZZP'!$B$6:$J$238,5,FALSE)</f>
        <v>38.487718803530392</v>
      </c>
      <c r="H36" s="35">
        <f>VLOOKUP($B36,'Tarieven ZZP'!$B$6:$J$238,6,FALSE)</f>
        <v>24.54</v>
      </c>
      <c r="I36" s="35">
        <f>VLOOKUP($B36,'Tarieven ZZP'!$B$6:$J$238,7,FALSE)</f>
        <v>3.19</v>
      </c>
      <c r="J36" s="35">
        <f>VLOOKUP($B36,'Tarieven ZZP'!$B$6:$J$238,8,FALSE)</f>
        <v>0</v>
      </c>
      <c r="K36" s="429">
        <f>VLOOKUP($B36,'Tarieven ZZP'!$B$6:$J$238,8,FALSE)</f>
        <v>0</v>
      </c>
      <c r="L36" s="384">
        <f t="shared" si="0"/>
        <v>0</v>
      </c>
      <c r="M36" s="283" t="e">
        <f t="shared" si="2"/>
        <v>#DIV/0!</v>
      </c>
      <c r="N36" s="385" t="e">
        <f t="shared" si="1"/>
        <v>#DIV/0!</v>
      </c>
      <c r="O36" s="385" t="e">
        <f t="shared" si="3"/>
        <v>#DIV/0!</v>
      </c>
    </row>
    <row r="37" spans="1:15" x14ac:dyDescent="0.3">
      <c r="A37" s="120">
        <v>828</v>
      </c>
      <c r="B37" s="120" t="s">
        <v>357</v>
      </c>
      <c r="C37" s="120" t="s">
        <v>3230</v>
      </c>
      <c r="D37" s="120" t="s">
        <v>2886</v>
      </c>
      <c r="E37" s="35" t="str">
        <f>VLOOKUP($B37,'Tarieven ZZP'!$B$6:$J$238,3,FALSE)</f>
        <v>Z652 ZZP 5lg incl.bh excl.db</v>
      </c>
      <c r="F37" s="35">
        <f>VLOOKUP($B37,'Tarieven ZZP'!$B$6:$J$238,4,FALSE)</f>
        <v>142.8568423885506</v>
      </c>
      <c r="G37" s="35">
        <f>VLOOKUP($B37,'Tarieven ZZP'!$B$6:$J$238,5,FALSE)</f>
        <v>39.410781488716147</v>
      </c>
      <c r="H37" s="35">
        <f>VLOOKUP($B37,'Tarieven ZZP'!$B$6:$J$238,6,FALSE)</f>
        <v>28.41</v>
      </c>
      <c r="I37" s="35">
        <f>VLOOKUP($B37,'Tarieven ZZP'!$B$6:$J$238,7,FALSE)</f>
        <v>7.95</v>
      </c>
      <c r="J37" s="35">
        <f>VLOOKUP($B37,'Tarieven ZZP'!$B$6:$J$238,8,FALSE)</f>
        <v>0</v>
      </c>
      <c r="K37" s="429">
        <f>VLOOKUP($B37,'Tarieven ZZP'!$B$6:$J$238,8,FALSE)</f>
        <v>0</v>
      </c>
      <c r="L37" s="384">
        <f t="shared" si="0"/>
        <v>0</v>
      </c>
      <c r="M37" s="283" t="e">
        <f t="shared" si="2"/>
        <v>#DIV/0!</v>
      </c>
      <c r="N37" s="385" t="e">
        <f t="shared" si="1"/>
        <v>#DIV/0!</v>
      </c>
      <c r="O37" s="385" t="e">
        <f t="shared" si="3"/>
        <v>#DIV/0!</v>
      </c>
    </row>
    <row r="38" spans="1:15" x14ac:dyDescent="0.3">
      <c r="A38" s="120">
        <v>830</v>
      </c>
      <c r="B38" s="120" t="s">
        <v>358</v>
      </c>
      <c r="C38" s="120" t="s">
        <v>3231</v>
      </c>
      <c r="D38" s="120" t="s">
        <v>2887</v>
      </c>
      <c r="E38" s="35" t="str">
        <f>VLOOKUP($B38,'Tarieven ZZP'!$B$6:$J$238,3,FALSE)</f>
        <v>Z662 ZZP 6lg incl.bh excl.db</v>
      </c>
      <c r="F38" s="35">
        <f>VLOOKUP($B38,'Tarieven ZZP'!$B$6:$J$238,4,FALSE)</f>
        <v>204.01826752138859</v>
      </c>
      <c r="G38" s="35">
        <f>VLOOKUP($B38,'Tarieven ZZP'!$B$6:$J$238,5,FALSE)</f>
        <v>47.596801887376138</v>
      </c>
      <c r="H38" s="35">
        <f>VLOOKUP($B38,'Tarieven ZZP'!$B$6:$J$238,6,FALSE)</f>
        <v>33.54</v>
      </c>
      <c r="I38" s="35">
        <f>VLOOKUP($B38,'Tarieven ZZP'!$B$6:$J$238,7,FALSE)</f>
        <v>7.95</v>
      </c>
      <c r="J38" s="35">
        <f>VLOOKUP($B38,'Tarieven ZZP'!$B$6:$J$238,8,FALSE)</f>
        <v>0</v>
      </c>
      <c r="K38" s="429">
        <f>VLOOKUP($B38,'Tarieven ZZP'!$B$6:$J$238,8,FALSE)</f>
        <v>0</v>
      </c>
      <c r="L38" s="384">
        <f t="shared" si="0"/>
        <v>0</v>
      </c>
      <c r="M38" s="283" t="e">
        <f t="shared" si="2"/>
        <v>#DIV/0!</v>
      </c>
      <c r="N38" s="385" t="e">
        <f t="shared" si="1"/>
        <v>#DIV/0!</v>
      </c>
      <c r="O38" s="385" t="e">
        <f t="shared" si="3"/>
        <v>#DIV/0!</v>
      </c>
    </row>
    <row r="39" spans="1:15" x14ac:dyDescent="0.3">
      <c r="A39" s="120">
        <v>832</v>
      </c>
      <c r="B39" s="120" t="s">
        <v>238</v>
      </c>
      <c r="C39" s="120" t="s">
        <v>3232</v>
      </c>
      <c r="D39" s="120" t="s">
        <v>2888</v>
      </c>
      <c r="E39" s="35" t="str">
        <f>VLOOKUP($B39,'Tarieven ZZP'!$B$6:$J$238,3,FALSE)</f>
        <v>Z672 ZZP 7lg incl.bh excl.db</v>
      </c>
      <c r="F39" s="35">
        <f>VLOOKUP($B39,'Tarieven ZZP'!$B$6:$J$238,4,FALSE)</f>
        <v>230.30716109996169</v>
      </c>
      <c r="G39" s="35">
        <f>VLOOKUP($B39,'Tarieven ZZP'!$B$6:$J$238,5,FALSE)</f>
        <v>51.340240085219932</v>
      </c>
      <c r="H39" s="35">
        <f>VLOOKUP($B39,'Tarieven ZZP'!$B$6:$J$238,6,FALSE)</f>
        <v>33.54</v>
      </c>
      <c r="I39" s="35">
        <f>VLOOKUP($B39,'Tarieven ZZP'!$B$6:$J$238,7,FALSE)</f>
        <v>7.95</v>
      </c>
      <c r="J39" s="35">
        <f>VLOOKUP($B39,'Tarieven ZZP'!$B$6:$J$238,8,FALSE)</f>
        <v>0</v>
      </c>
      <c r="K39" s="429">
        <f>VLOOKUP($B39,'Tarieven ZZP'!$B$6:$J$238,8,FALSE)</f>
        <v>0</v>
      </c>
      <c r="L39" s="384">
        <f t="shared" si="0"/>
        <v>0</v>
      </c>
      <c r="M39" s="283" t="e">
        <f t="shared" si="2"/>
        <v>#DIV/0!</v>
      </c>
      <c r="N39" s="385" t="e">
        <f t="shared" si="1"/>
        <v>#DIV/0!</v>
      </c>
      <c r="O39" s="385" t="e">
        <f t="shared" si="3"/>
        <v>#DIV/0!</v>
      </c>
    </row>
    <row r="40" spans="1:15" x14ac:dyDescent="0.3">
      <c r="A40" s="120">
        <v>850</v>
      </c>
      <c r="B40" s="120" t="s">
        <v>369</v>
      </c>
      <c r="C40" s="120" t="s">
        <v>3246</v>
      </c>
      <c r="D40" s="120" t="s">
        <v>2902</v>
      </c>
      <c r="E40" s="35" t="str">
        <f>VLOOKUP($B40,'Tarieven ZZP'!$B$6:$J$238,3,FALSE)</f>
        <v>Z712 ZZP 1zg-auditief incl.bh excl.db</v>
      </c>
      <c r="F40" s="35">
        <f>VLOOKUP($B40,'Tarieven ZZP'!$B$6:$J$238,4,FALSE)</f>
        <v>110.63359113906508</v>
      </c>
      <c r="G40" s="35">
        <f>VLOOKUP($B40,'Tarieven ZZP'!$B$6:$J$238,5,FALSE)</f>
        <v>17.970118150035209</v>
      </c>
      <c r="H40" s="35">
        <f>VLOOKUP($B40,'Tarieven ZZP'!$B$6:$J$238,6,FALSE)</f>
        <v>24.54</v>
      </c>
      <c r="I40" s="35">
        <f>VLOOKUP($B40,'Tarieven ZZP'!$B$6:$J$238,7,FALSE)</f>
        <v>7.5</v>
      </c>
      <c r="J40" s="35">
        <f>VLOOKUP($B40,'Tarieven ZZP'!$B$6:$J$238,8,FALSE)</f>
        <v>0</v>
      </c>
      <c r="K40" s="429">
        <f>VLOOKUP($B40,'Tarieven ZZP'!$B$6:$J$238,8,FALSE)</f>
        <v>0</v>
      </c>
      <c r="L40" s="384">
        <f t="shared" si="0"/>
        <v>0</v>
      </c>
      <c r="M40" s="283" t="e">
        <f t="shared" si="2"/>
        <v>#DIV/0!</v>
      </c>
      <c r="N40" s="385" t="e">
        <f t="shared" si="1"/>
        <v>#DIV/0!</v>
      </c>
      <c r="O40" s="385" t="e">
        <f t="shared" si="3"/>
        <v>#DIV/0!</v>
      </c>
    </row>
    <row r="41" spans="1:15" x14ac:dyDescent="0.3">
      <c r="A41" s="120">
        <v>852</v>
      </c>
      <c r="B41" s="120" t="s">
        <v>296</v>
      </c>
      <c r="C41" s="120" t="s">
        <v>3247</v>
      </c>
      <c r="D41" s="120" t="s">
        <v>2903</v>
      </c>
      <c r="E41" s="35" t="str">
        <f>VLOOKUP($B41,'Tarieven ZZP'!$B$6:$J$238,3,FALSE)</f>
        <v>Z722 ZZP 2zg-auditief incl.bh excl.db</v>
      </c>
      <c r="F41" s="35">
        <f>VLOOKUP($B41,'Tarieven ZZP'!$B$6:$J$238,4,FALSE)</f>
        <v>253.79406689141643</v>
      </c>
      <c r="G41" s="35">
        <f>VLOOKUP($B41,'Tarieven ZZP'!$B$6:$J$238,5,FALSE)</f>
        <v>27.538562884636153</v>
      </c>
      <c r="H41" s="35">
        <f>VLOOKUP($B41,'Tarieven ZZP'!$B$6:$J$238,6,FALSE)</f>
        <v>24.54</v>
      </c>
      <c r="I41" s="35">
        <f>VLOOKUP($B41,'Tarieven ZZP'!$B$6:$J$238,7,FALSE)</f>
        <v>7.5</v>
      </c>
      <c r="J41" s="35">
        <f>VLOOKUP($B41,'Tarieven ZZP'!$B$6:$J$238,8,FALSE)</f>
        <v>0</v>
      </c>
      <c r="K41" s="429">
        <f>VLOOKUP($B41,'Tarieven ZZP'!$B$6:$J$238,8,FALSE)</f>
        <v>0</v>
      </c>
      <c r="L41" s="384">
        <f t="shared" si="0"/>
        <v>0</v>
      </c>
      <c r="M41" s="283" t="e">
        <f t="shared" si="2"/>
        <v>#DIV/0!</v>
      </c>
      <c r="N41" s="385" t="e">
        <f t="shared" si="1"/>
        <v>#DIV/0!</v>
      </c>
      <c r="O41" s="385" t="e">
        <f t="shared" si="3"/>
        <v>#DIV/0!</v>
      </c>
    </row>
    <row r="42" spans="1:15" x14ac:dyDescent="0.3">
      <c r="A42" s="120">
        <v>854</v>
      </c>
      <c r="B42" s="120" t="s">
        <v>311</v>
      </c>
      <c r="C42" s="120" t="s">
        <v>3248</v>
      </c>
      <c r="D42" s="120" t="s">
        <v>2904</v>
      </c>
      <c r="E42" s="35" t="str">
        <f>VLOOKUP($B42,'Tarieven ZZP'!$B$6:$J$238,3,FALSE)</f>
        <v>Z732 ZZP 3zg-auditief incl.bh excl.db</v>
      </c>
      <c r="F42" s="35">
        <f>VLOOKUP($B42,'Tarieven ZZP'!$B$6:$J$238,4,FALSE)</f>
        <v>289.28308097811168</v>
      </c>
      <c r="G42" s="35">
        <f>VLOOKUP($B42,'Tarieven ZZP'!$B$6:$J$238,5,FALSE)</f>
        <v>33.941879012612951</v>
      </c>
      <c r="H42" s="35">
        <f>VLOOKUP($B42,'Tarieven ZZP'!$B$6:$J$238,6,FALSE)</f>
        <v>27.14</v>
      </c>
      <c r="I42" s="35">
        <f>VLOOKUP($B42,'Tarieven ZZP'!$B$6:$J$238,7,FALSE)</f>
        <v>7.5</v>
      </c>
      <c r="J42" s="35">
        <f>VLOOKUP($B42,'Tarieven ZZP'!$B$6:$J$238,8,FALSE)</f>
        <v>0</v>
      </c>
      <c r="K42" s="429">
        <f>VLOOKUP($B42,'Tarieven ZZP'!$B$6:$J$238,8,FALSE)</f>
        <v>0</v>
      </c>
      <c r="L42" s="384">
        <f t="shared" si="0"/>
        <v>0</v>
      </c>
      <c r="M42" s="283" t="e">
        <f t="shared" si="2"/>
        <v>#DIV/0!</v>
      </c>
      <c r="N42" s="385" t="e">
        <f t="shared" si="1"/>
        <v>#DIV/0!</v>
      </c>
      <c r="O42" s="385" t="e">
        <f t="shared" si="3"/>
        <v>#DIV/0!</v>
      </c>
    </row>
    <row r="43" spans="1:15" x14ac:dyDescent="0.3">
      <c r="A43" s="120">
        <v>856</v>
      </c>
      <c r="B43" s="120" t="s">
        <v>348</v>
      </c>
      <c r="C43" s="120" t="s">
        <v>3249</v>
      </c>
      <c r="D43" s="120" t="s">
        <v>2905</v>
      </c>
      <c r="E43" s="35" t="str">
        <f>VLOOKUP($B43,'Tarieven ZZP'!$B$6:$J$238,3,FALSE)</f>
        <v>Z742 ZZP 4zg-auditief incl.bh excl.db</v>
      </c>
      <c r="F43" s="35">
        <f>VLOOKUP($B43,'Tarieven ZZP'!$B$6:$J$238,4,FALSE)</f>
        <v>151.035</v>
      </c>
      <c r="G43" s="35">
        <f>VLOOKUP($B43,'Tarieven ZZP'!$B$6:$J$238,5,FALSE)</f>
        <v>50.344999999999999</v>
      </c>
      <c r="H43" s="35">
        <f>VLOOKUP($B43,'Tarieven ZZP'!$B$6:$J$238,6,FALSE)</f>
        <v>24.54</v>
      </c>
      <c r="I43" s="35">
        <f>VLOOKUP($B43,'Tarieven ZZP'!$B$6:$J$238,7,FALSE)</f>
        <v>7.5</v>
      </c>
      <c r="J43" s="35">
        <f>VLOOKUP($B43,'Tarieven ZZP'!$B$6:$J$238,8,FALSE)</f>
        <v>0</v>
      </c>
      <c r="K43" s="429">
        <f>VLOOKUP($B43,'Tarieven ZZP'!$B$6:$J$238,8,FALSE)</f>
        <v>0</v>
      </c>
      <c r="L43" s="384">
        <f t="shared" si="0"/>
        <v>0</v>
      </c>
      <c r="M43" s="283" t="e">
        <f t="shared" si="2"/>
        <v>#DIV/0!</v>
      </c>
      <c r="N43" s="385" t="e">
        <f t="shared" si="1"/>
        <v>#DIV/0!</v>
      </c>
      <c r="O43" s="385" t="e">
        <f t="shared" si="3"/>
        <v>#DIV/0!</v>
      </c>
    </row>
    <row r="44" spans="1:15" x14ac:dyDescent="0.3">
      <c r="A44" s="120">
        <v>840</v>
      </c>
      <c r="B44" s="120" t="s">
        <v>117</v>
      </c>
      <c r="C44" s="120" t="s">
        <v>3254</v>
      </c>
      <c r="D44" s="120" t="s">
        <v>2910</v>
      </c>
      <c r="E44" s="35" t="str">
        <f>VLOOKUP($B44,'Tarieven ZZP'!$B$6:$J$238,3,FALSE)</f>
        <v>Z814 ZZP 1zg-visueel excl.db</v>
      </c>
      <c r="F44" s="35">
        <f>VLOOKUP($B44,'Tarieven ZZP'!$B$6:$J$238,4,FALSE)</f>
        <v>57.81</v>
      </c>
      <c r="G44" s="35">
        <f>VLOOKUP($B44,'Tarieven ZZP'!$B$6:$J$238,5,FALSE)</f>
        <v>19.27</v>
      </c>
      <c r="H44" s="35">
        <f>VLOOKUP($B44,'Tarieven ZZP'!$B$6:$J$238,6,FALSE)</f>
        <v>24.54</v>
      </c>
      <c r="I44" s="35">
        <f>VLOOKUP($B44,'Tarieven ZZP'!$B$6:$J$238,7,FALSE)</f>
        <v>4.9000000000000004</v>
      </c>
      <c r="J44" s="35">
        <f>VLOOKUP($B44,'Tarieven ZZP'!$B$6:$J$238,8,FALSE)</f>
        <v>0</v>
      </c>
      <c r="K44" s="429">
        <f>VLOOKUP($B44,'Tarieven ZZP'!$B$6:$J$238,8,FALSE)</f>
        <v>0</v>
      </c>
      <c r="L44" s="384">
        <f t="shared" si="0"/>
        <v>0</v>
      </c>
      <c r="M44" s="283" t="e">
        <f t="shared" si="2"/>
        <v>#DIV/0!</v>
      </c>
      <c r="N44" s="385" t="e">
        <f t="shared" si="1"/>
        <v>#DIV/0!</v>
      </c>
      <c r="O44" s="385" t="e">
        <f t="shared" si="3"/>
        <v>#DIV/0!</v>
      </c>
    </row>
    <row r="45" spans="1:15" x14ac:dyDescent="0.3">
      <c r="A45" s="120">
        <v>842</v>
      </c>
      <c r="B45" s="120" t="s">
        <v>96</v>
      </c>
      <c r="C45" s="120" t="s">
        <v>3255</v>
      </c>
      <c r="D45" s="120" t="s">
        <v>2911</v>
      </c>
      <c r="E45" s="35" t="str">
        <f>VLOOKUP($B45,'Tarieven ZZP'!$B$6:$J$238,3,FALSE)</f>
        <v>Z824 ZZP 2zg-visueel excl.db</v>
      </c>
      <c r="F45" s="35">
        <f>VLOOKUP($B45,'Tarieven ZZP'!$B$6:$J$238,4,FALSE)</f>
        <v>86.182500000000005</v>
      </c>
      <c r="G45" s="35">
        <f>VLOOKUP($B45,'Tarieven ZZP'!$B$6:$J$238,5,FALSE)</f>
        <v>28.727499999999999</v>
      </c>
      <c r="H45" s="35">
        <f>VLOOKUP($B45,'Tarieven ZZP'!$B$6:$J$238,6,FALSE)</f>
        <v>24.54</v>
      </c>
      <c r="I45" s="35">
        <f>VLOOKUP($B45,'Tarieven ZZP'!$B$6:$J$238,7,FALSE)</f>
        <v>4.9000000000000004</v>
      </c>
      <c r="J45" s="35">
        <f>VLOOKUP($B45,'Tarieven ZZP'!$B$6:$J$238,8,FALSE)</f>
        <v>0</v>
      </c>
      <c r="K45" s="429">
        <f>VLOOKUP($B45,'Tarieven ZZP'!$B$6:$J$238,8,FALSE)</f>
        <v>0</v>
      </c>
      <c r="L45" s="384">
        <f t="shared" si="0"/>
        <v>0</v>
      </c>
      <c r="M45" s="283" t="e">
        <f t="shared" si="2"/>
        <v>#DIV/0!</v>
      </c>
      <c r="N45" s="385" t="e">
        <f t="shared" si="1"/>
        <v>#DIV/0!</v>
      </c>
      <c r="O45" s="385" t="e">
        <f t="shared" si="3"/>
        <v>#DIV/0!</v>
      </c>
    </row>
    <row r="46" spans="1:15" x14ac:dyDescent="0.3">
      <c r="A46" s="120">
        <v>844</v>
      </c>
      <c r="B46" s="120" t="s">
        <v>379</v>
      </c>
      <c r="C46" s="120" t="s">
        <v>3264</v>
      </c>
      <c r="D46" s="120" t="s">
        <v>2920</v>
      </c>
      <c r="E46" s="35" t="str">
        <f>VLOOKUP($B46,'Tarieven ZZP'!$B$6:$J$238,3,FALSE)</f>
        <v>Z832 ZZP 3zg-visueel incl.bh excl.db</v>
      </c>
      <c r="F46" s="35">
        <f>VLOOKUP($B46,'Tarieven ZZP'!$B$6:$J$238,4,FALSE)</f>
        <v>122.1225</v>
      </c>
      <c r="G46" s="35">
        <f>VLOOKUP($B46,'Tarieven ZZP'!$B$6:$J$238,5,FALSE)</f>
        <v>40.707500000000003</v>
      </c>
      <c r="H46" s="35">
        <f>VLOOKUP($B46,'Tarieven ZZP'!$B$6:$J$238,6,FALSE)</f>
        <v>24.54</v>
      </c>
      <c r="I46" s="35">
        <f>VLOOKUP($B46,'Tarieven ZZP'!$B$6:$J$238,7,FALSE)</f>
        <v>7.5</v>
      </c>
      <c r="J46" s="35">
        <f>VLOOKUP($B46,'Tarieven ZZP'!$B$6:$J$238,8,FALSE)</f>
        <v>0</v>
      </c>
      <c r="K46" s="429">
        <f>VLOOKUP($B46,'Tarieven ZZP'!$B$6:$J$238,8,FALSE)</f>
        <v>0</v>
      </c>
      <c r="L46" s="384">
        <f t="shared" si="0"/>
        <v>0</v>
      </c>
      <c r="M46" s="283" t="e">
        <f t="shared" si="2"/>
        <v>#DIV/0!</v>
      </c>
      <c r="N46" s="385" t="e">
        <f t="shared" si="1"/>
        <v>#DIV/0!</v>
      </c>
      <c r="O46" s="385" t="e">
        <f t="shared" si="3"/>
        <v>#DIV/0!</v>
      </c>
    </row>
    <row r="47" spans="1:15" x14ac:dyDescent="0.3">
      <c r="A47" s="120">
        <v>846</v>
      </c>
      <c r="B47" s="120" t="s">
        <v>261</v>
      </c>
      <c r="C47" s="120" t="s">
        <v>3265</v>
      </c>
      <c r="D47" s="120" t="s">
        <v>2921</v>
      </c>
      <c r="E47" s="35" t="str">
        <f>VLOOKUP($B47,'Tarieven ZZP'!$B$6:$J$238,3,FALSE)</f>
        <v>Z842 ZZP 4zg-visueel incl.bh excl.db</v>
      </c>
      <c r="F47" s="35">
        <f>VLOOKUP($B47,'Tarieven ZZP'!$B$6:$J$238,4,FALSE)</f>
        <v>153.78750000000002</v>
      </c>
      <c r="G47" s="35">
        <f>VLOOKUP($B47,'Tarieven ZZP'!$B$6:$J$238,5,FALSE)</f>
        <v>51.262500000000003</v>
      </c>
      <c r="H47" s="35">
        <f>VLOOKUP($B47,'Tarieven ZZP'!$B$6:$J$238,6,FALSE)</f>
        <v>29.09</v>
      </c>
      <c r="I47" s="35">
        <f>VLOOKUP($B47,'Tarieven ZZP'!$B$6:$J$238,7,FALSE)</f>
        <v>7.5</v>
      </c>
      <c r="J47" s="35">
        <f>VLOOKUP($B47,'Tarieven ZZP'!$B$6:$J$238,8,FALSE)</f>
        <v>0</v>
      </c>
      <c r="K47" s="429">
        <f>VLOOKUP($B47,'Tarieven ZZP'!$B$6:$J$238,8,FALSE)</f>
        <v>0</v>
      </c>
      <c r="L47" s="384">
        <f t="shared" si="0"/>
        <v>0</v>
      </c>
      <c r="M47" s="283" t="e">
        <f t="shared" si="2"/>
        <v>#DIV/0!</v>
      </c>
      <c r="N47" s="385" t="e">
        <f t="shared" si="1"/>
        <v>#DIV/0!</v>
      </c>
      <c r="O47" s="385" t="e">
        <f t="shared" si="3"/>
        <v>#DIV/0!</v>
      </c>
    </row>
    <row r="48" spans="1:15" x14ac:dyDescent="0.3">
      <c r="A48" s="120">
        <v>848</v>
      </c>
      <c r="B48" s="120" t="s">
        <v>85</v>
      </c>
      <c r="C48" s="120" t="s">
        <v>3266</v>
      </c>
      <c r="D48" s="120" t="s">
        <v>2922</v>
      </c>
      <c r="E48" s="35" t="str">
        <f>VLOOKUP($B48,'Tarieven ZZP'!$B$6:$J$238,3,FALSE)</f>
        <v>Z852 ZZP 5zg-visueel incl.bh excl.db</v>
      </c>
      <c r="F48" s="35">
        <f>VLOOKUP($B48,'Tarieven ZZP'!$B$6:$J$238,4,FALSE)</f>
        <v>170.64000000000001</v>
      </c>
      <c r="G48" s="35">
        <f>VLOOKUP($B48,'Tarieven ZZP'!$B$6:$J$238,5,FALSE)</f>
        <v>56.88</v>
      </c>
      <c r="H48" s="35">
        <f>VLOOKUP($B48,'Tarieven ZZP'!$B$6:$J$238,6,FALSE)</f>
        <v>34.299999999999997</v>
      </c>
      <c r="I48" s="35">
        <f>VLOOKUP($B48,'Tarieven ZZP'!$B$6:$J$238,7,FALSE)</f>
        <v>7.5</v>
      </c>
      <c r="J48" s="35">
        <f>VLOOKUP($B48,'Tarieven ZZP'!$B$6:$J$238,8,FALSE)</f>
        <v>0</v>
      </c>
      <c r="K48" s="429">
        <f>VLOOKUP($B48,'Tarieven ZZP'!$B$6:$J$238,8,FALSE)</f>
        <v>0</v>
      </c>
      <c r="L48" s="384">
        <f t="shared" si="0"/>
        <v>0</v>
      </c>
      <c r="M48" s="283" t="e">
        <f t="shared" si="2"/>
        <v>#DIV/0!</v>
      </c>
      <c r="N48" s="385" t="e">
        <f t="shared" si="1"/>
        <v>#DIV/0!</v>
      </c>
      <c r="O48" s="385" t="e">
        <f t="shared" si="3"/>
        <v>#DIV/0!</v>
      </c>
    </row>
  </sheetData>
  <sheetProtection algorithmName="SHA-512" hashValue="3YEfOpidnpIULJHwpB5NdLzzhLXbG3hWTDWFq072ow82azZ4SF8BAQkS8jqrXLh4/y6ZMAI8OHSiz3zBEcr3Rw==" saltValue="X1/ESNzSpBmdlP0hxf+0nQ==" spinCount="100000" sheet="1" objects="1" scenarios="1"/>
  <pageMargins left="0.7" right="0.7" top="0.75" bottom="0.75" header="0.3" footer="0.3"/>
  <pageSetup paperSize="9" orientation="portrait" horizontalDpi="4294967293"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0"/>
  <dimension ref="A1:N41"/>
  <sheetViews>
    <sheetView workbookViewId="0">
      <selection activeCell="K41" sqref="K41"/>
    </sheetView>
  </sheetViews>
  <sheetFormatPr defaultColWidth="9.109375" defaultRowHeight="14.4" x14ac:dyDescent="0.3"/>
  <cols>
    <col min="1" max="1" width="9.109375" style="120"/>
    <col min="2" max="2" width="10.6640625" style="120" bestFit="1" customWidth="1"/>
    <col min="3" max="3" width="28.33203125" style="120" bestFit="1" customWidth="1"/>
    <col min="4" max="4" width="33.33203125" style="120" bestFit="1" customWidth="1"/>
    <col min="5" max="5" width="7" style="120" bestFit="1" customWidth="1"/>
    <col min="6" max="8" width="5" style="120" bestFit="1" customWidth="1"/>
    <col min="9" max="9" width="27.109375" style="120" bestFit="1" customWidth="1"/>
    <col min="10" max="10" width="24.33203125" style="120" bestFit="1" customWidth="1"/>
    <col min="11" max="11" width="17.33203125" style="120" bestFit="1" customWidth="1"/>
    <col min="12" max="12" width="8.88671875" style="120" bestFit="1" customWidth="1"/>
    <col min="13" max="13" width="9.5546875" style="386" bestFit="1" customWidth="1"/>
    <col min="14" max="14" width="21.5546875" style="386" bestFit="1" customWidth="1"/>
    <col min="15" max="16384" width="9.109375" style="120"/>
  </cols>
  <sheetData>
    <row r="1" spans="1:14" ht="15" x14ac:dyDescent="0.25">
      <c r="A1" s="120" t="s">
        <v>3494</v>
      </c>
      <c r="B1" s="120" t="s">
        <v>0</v>
      </c>
      <c r="C1" s="120" t="s">
        <v>3501</v>
      </c>
      <c r="D1" s="120" t="s">
        <v>3502</v>
      </c>
      <c r="I1" s="120" t="s">
        <v>3495</v>
      </c>
      <c r="J1" s="120" t="s">
        <v>3496</v>
      </c>
      <c r="K1" s="120" t="s">
        <v>3497</v>
      </c>
      <c r="L1" s="120" t="s">
        <v>3498</v>
      </c>
      <c r="M1" s="386" t="s">
        <v>3503</v>
      </c>
      <c r="N1" s="386" t="s">
        <v>3504</v>
      </c>
    </row>
    <row r="2" spans="1:14" ht="15" x14ac:dyDescent="0.25">
      <c r="A2" s="120">
        <v>750</v>
      </c>
      <c r="B2" s="120" t="s">
        <v>245</v>
      </c>
      <c r="C2" s="120" t="s">
        <v>3030</v>
      </c>
      <c r="D2" s="120" t="s">
        <v>2764</v>
      </c>
      <c r="E2" s="120">
        <v>68.02</v>
      </c>
      <c r="F2" s="120">
        <v>2.98</v>
      </c>
      <c r="G2" s="120">
        <v>0.6</v>
      </c>
      <c r="H2" s="120" t="s">
        <v>3031</v>
      </c>
      <c r="I2" s="384">
        <v>71.599999999999994</v>
      </c>
      <c r="J2" s="384">
        <v>71.599999999999994</v>
      </c>
      <c r="K2" s="384">
        <f>J2-I2</f>
        <v>0</v>
      </c>
      <c r="L2" s="283">
        <f>SUM(M2:N2)</f>
        <v>1</v>
      </c>
      <c r="M2" s="385">
        <f>ROUND(I2/J2,2)</f>
        <v>1</v>
      </c>
      <c r="N2" s="385">
        <f>ROUND(K2/J2,2)</f>
        <v>0</v>
      </c>
    </row>
    <row r="3" spans="1:14" ht="15" x14ac:dyDescent="0.25">
      <c r="A3" s="120">
        <v>751</v>
      </c>
      <c r="B3" s="120" t="s">
        <v>136</v>
      </c>
      <c r="C3" s="120" t="s">
        <v>3032</v>
      </c>
      <c r="D3" s="120" t="s">
        <v>2765</v>
      </c>
      <c r="E3" s="120">
        <v>86.4</v>
      </c>
      <c r="F3" s="120">
        <v>2.98</v>
      </c>
      <c r="G3" s="120">
        <v>0.6</v>
      </c>
      <c r="H3" s="120" t="s">
        <v>3031</v>
      </c>
      <c r="I3" s="384">
        <v>89.98</v>
      </c>
      <c r="J3" s="384">
        <v>89.98</v>
      </c>
      <c r="K3" s="384">
        <f t="shared" ref="K3:K41" si="0">J3-I3</f>
        <v>0</v>
      </c>
      <c r="L3" s="283">
        <f t="shared" ref="L3:L41" si="1">SUM(M3:N3)</f>
        <v>1</v>
      </c>
      <c r="M3" s="385">
        <f t="shared" ref="M3:M41" si="2">ROUND(I3/J3,2)</f>
        <v>1</v>
      </c>
      <c r="N3" s="385">
        <f t="shared" ref="N3:N41" si="3">ROUND(K3/J3,2)</f>
        <v>0</v>
      </c>
    </row>
    <row r="4" spans="1:14" ht="15" x14ac:dyDescent="0.25">
      <c r="A4" s="120">
        <v>752</v>
      </c>
      <c r="B4" s="120" t="s">
        <v>291</v>
      </c>
      <c r="C4" s="120" t="s">
        <v>3033</v>
      </c>
      <c r="D4" s="120" t="s">
        <v>2926</v>
      </c>
      <c r="E4" s="120">
        <v>124.62</v>
      </c>
      <c r="F4" s="120">
        <v>3.04</v>
      </c>
      <c r="G4" s="120">
        <v>0.81</v>
      </c>
      <c r="H4" s="120" t="s">
        <v>3031</v>
      </c>
      <c r="I4" s="384">
        <v>128.47</v>
      </c>
      <c r="J4" s="384">
        <v>128.47</v>
      </c>
      <c r="K4" s="384">
        <f t="shared" si="0"/>
        <v>0</v>
      </c>
      <c r="L4" s="283">
        <f t="shared" si="1"/>
        <v>1</v>
      </c>
      <c r="M4" s="385">
        <f t="shared" si="2"/>
        <v>1</v>
      </c>
      <c r="N4" s="385">
        <f t="shared" si="3"/>
        <v>0</v>
      </c>
    </row>
    <row r="5" spans="1:14" ht="15" x14ac:dyDescent="0.25">
      <c r="A5" s="120">
        <v>753</v>
      </c>
      <c r="B5" s="120" t="s">
        <v>167</v>
      </c>
      <c r="C5" s="120" t="s">
        <v>3034</v>
      </c>
      <c r="D5" s="120" t="s">
        <v>2927</v>
      </c>
      <c r="E5" s="120">
        <v>139.19</v>
      </c>
      <c r="F5" s="120">
        <v>3.04</v>
      </c>
      <c r="G5" s="120">
        <v>0.81</v>
      </c>
      <c r="H5" s="120" t="s">
        <v>3031</v>
      </c>
      <c r="I5" s="384">
        <v>143.04</v>
      </c>
      <c r="J5" s="384">
        <v>143.04</v>
      </c>
      <c r="K5" s="384">
        <f t="shared" si="0"/>
        <v>0</v>
      </c>
      <c r="L5" s="283">
        <f t="shared" si="1"/>
        <v>1</v>
      </c>
      <c r="M5" s="385">
        <f t="shared" si="2"/>
        <v>1</v>
      </c>
      <c r="N5" s="385">
        <f t="shared" si="3"/>
        <v>0</v>
      </c>
    </row>
    <row r="6" spans="1:14" ht="15" x14ac:dyDescent="0.25">
      <c r="A6" s="120">
        <v>754</v>
      </c>
      <c r="B6" s="120" t="s">
        <v>378</v>
      </c>
      <c r="C6" s="120" t="s">
        <v>3035</v>
      </c>
      <c r="D6" s="120" t="s">
        <v>2928</v>
      </c>
      <c r="E6" s="120">
        <v>185.88</v>
      </c>
      <c r="F6" s="120">
        <v>4.0199999999999996</v>
      </c>
      <c r="G6" s="120">
        <v>0.69</v>
      </c>
      <c r="H6" s="120" t="s">
        <v>3031</v>
      </c>
      <c r="I6" s="384">
        <v>190.59</v>
      </c>
      <c r="J6" s="384">
        <v>190.59</v>
      </c>
      <c r="K6" s="384">
        <f t="shared" si="0"/>
        <v>0</v>
      </c>
      <c r="L6" s="283">
        <f t="shared" si="1"/>
        <v>1</v>
      </c>
      <c r="M6" s="385">
        <f t="shared" si="2"/>
        <v>1</v>
      </c>
      <c r="N6" s="385">
        <f t="shared" si="3"/>
        <v>0</v>
      </c>
    </row>
    <row r="7" spans="1:14" ht="15" x14ac:dyDescent="0.25">
      <c r="A7" s="120">
        <v>755</v>
      </c>
      <c r="B7" s="120" t="s">
        <v>340</v>
      </c>
      <c r="C7" s="120" t="s">
        <v>3036</v>
      </c>
      <c r="D7" s="120" t="s">
        <v>2929</v>
      </c>
      <c r="E7" s="120">
        <v>185.85</v>
      </c>
      <c r="F7" s="120">
        <v>4.4000000000000004</v>
      </c>
      <c r="G7" s="120">
        <v>0.69</v>
      </c>
      <c r="H7" s="120" t="s">
        <v>3031</v>
      </c>
      <c r="I7" s="384">
        <v>190.94</v>
      </c>
      <c r="J7" s="384">
        <v>190.94</v>
      </c>
      <c r="K7" s="384">
        <f t="shared" si="0"/>
        <v>0</v>
      </c>
      <c r="L7" s="283">
        <f t="shared" si="1"/>
        <v>1</v>
      </c>
      <c r="M7" s="385">
        <f t="shared" si="2"/>
        <v>1</v>
      </c>
      <c r="N7" s="385">
        <f t="shared" si="3"/>
        <v>0</v>
      </c>
    </row>
    <row r="8" spans="1:14" ht="15" x14ac:dyDescent="0.25">
      <c r="A8" s="120">
        <v>756</v>
      </c>
      <c r="B8" s="120" t="s">
        <v>268</v>
      </c>
      <c r="C8" s="120" t="s">
        <v>3037</v>
      </c>
      <c r="D8" s="120" t="s">
        <v>2930</v>
      </c>
      <c r="E8" s="120">
        <v>222.15</v>
      </c>
      <c r="F8" s="120">
        <v>4.4000000000000004</v>
      </c>
      <c r="G8" s="120">
        <v>0.69</v>
      </c>
      <c r="H8" s="120" t="s">
        <v>3031</v>
      </c>
      <c r="I8" s="384">
        <v>227.24</v>
      </c>
      <c r="J8" s="384">
        <v>227.24</v>
      </c>
      <c r="K8" s="384">
        <f t="shared" si="0"/>
        <v>0</v>
      </c>
      <c r="L8" s="283">
        <f t="shared" si="1"/>
        <v>1</v>
      </c>
      <c r="M8" s="385">
        <f t="shared" si="2"/>
        <v>1</v>
      </c>
      <c r="N8" s="385">
        <f t="shared" si="3"/>
        <v>0</v>
      </c>
    </row>
    <row r="9" spans="1:14" ht="15" x14ac:dyDescent="0.25">
      <c r="A9" s="120">
        <v>757</v>
      </c>
      <c r="B9" s="120" t="s">
        <v>197</v>
      </c>
      <c r="C9" s="120" t="s">
        <v>3038</v>
      </c>
      <c r="D9" s="120" t="s">
        <v>2931</v>
      </c>
      <c r="E9" s="120">
        <v>253.29</v>
      </c>
      <c r="F9" s="120">
        <v>4.4000000000000004</v>
      </c>
      <c r="G9" s="120">
        <v>0.43</v>
      </c>
      <c r="H9" s="120" t="s">
        <v>3031</v>
      </c>
      <c r="I9" s="384">
        <v>258.12</v>
      </c>
      <c r="J9" s="384">
        <v>258.12</v>
      </c>
      <c r="K9" s="384">
        <f t="shared" si="0"/>
        <v>0</v>
      </c>
      <c r="L9" s="283">
        <f t="shared" si="1"/>
        <v>1</v>
      </c>
      <c r="M9" s="385">
        <f t="shared" si="2"/>
        <v>1</v>
      </c>
      <c r="N9" s="385">
        <f t="shared" si="3"/>
        <v>0</v>
      </c>
    </row>
    <row r="10" spans="1:14" ht="15" x14ac:dyDescent="0.25">
      <c r="A10" s="120">
        <v>191</v>
      </c>
      <c r="B10" s="120" t="s">
        <v>576</v>
      </c>
      <c r="C10" s="120" t="s">
        <v>3039</v>
      </c>
      <c r="D10" s="120" t="s">
        <v>2932</v>
      </c>
      <c r="E10" s="120">
        <v>220.64</v>
      </c>
      <c r="F10" s="120">
        <v>3.61</v>
      </c>
      <c r="G10" s="120">
        <v>0.42</v>
      </c>
      <c r="H10" s="120" t="s">
        <v>3031</v>
      </c>
      <c r="I10" s="384">
        <v>224.67</v>
      </c>
      <c r="J10" s="384">
        <v>224.67</v>
      </c>
      <c r="K10" s="384">
        <f t="shared" si="0"/>
        <v>0</v>
      </c>
      <c r="L10" s="283">
        <f t="shared" si="1"/>
        <v>1</v>
      </c>
      <c r="M10" s="385">
        <f t="shared" si="2"/>
        <v>1</v>
      </c>
      <c r="N10" s="385">
        <f t="shared" si="3"/>
        <v>0</v>
      </c>
    </row>
    <row r="11" spans="1:14" ht="15" x14ac:dyDescent="0.25">
      <c r="A11" s="120">
        <v>759</v>
      </c>
      <c r="B11" s="120" t="s">
        <v>188</v>
      </c>
      <c r="C11" s="120" t="s">
        <v>3040</v>
      </c>
      <c r="D11" s="120" t="s">
        <v>2933</v>
      </c>
      <c r="E11" s="120">
        <v>273.91000000000003</v>
      </c>
      <c r="F11" s="120">
        <v>4.4000000000000004</v>
      </c>
      <c r="G11" s="120">
        <v>0.69</v>
      </c>
      <c r="H11" s="120" t="s">
        <v>3031</v>
      </c>
      <c r="I11" s="384">
        <v>279</v>
      </c>
      <c r="J11" s="384">
        <v>279</v>
      </c>
      <c r="K11" s="384">
        <f t="shared" si="0"/>
        <v>0</v>
      </c>
      <c r="L11" s="283">
        <f t="shared" si="1"/>
        <v>1</v>
      </c>
      <c r="M11" s="385">
        <f t="shared" si="2"/>
        <v>1</v>
      </c>
      <c r="N11" s="385">
        <f t="shared" si="3"/>
        <v>0</v>
      </c>
    </row>
    <row r="12" spans="1:14" ht="15" x14ac:dyDescent="0.25">
      <c r="A12" s="120">
        <v>800</v>
      </c>
      <c r="B12" s="120" t="s">
        <v>158</v>
      </c>
      <c r="C12" s="120" t="s">
        <v>3041</v>
      </c>
      <c r="D12" s="120" t="s">
        <v>2774</v>
      </c>
      <c r="E12" s="120">
        <v>67.39</v>
      </c>
      <c r="F12" s="120" t="s">
        <v>3031</v>
      </c>
      <c r="G12" s="120" t="s">
        <v>3031</v>
      </c>
      <c r="H12" s="120" t="s">
        <v>3031</v>
      </c>
      <c r="I12" s="384">
        <v>67.39</v>
      </c>
      <c r="J12" s="384">
        <v>113.25</v>
      </c>
      <c r="K12" s="384">
        <f t="shared" si="0"/>
        <v>45.86</v>
      </c>
      <c r="L12" s="283">
        <f t="shared" si="1"/>
        <v>1</v>
      </c>
      <c r="M12" s="385">
        <f t="shared" si="2"/>
        <v>0.6</v>
      </c>
      <c r="N12" s="385">
        <f t="shared" si="3"/>
        <v>0.4</v>
      </c>
    </row>
    <row r="13" spans="1:14" ht="15" x14ac:dyDescent="0.25">
      <c r="A13" s="120">
        <v>802</v>
      </c>
      <c r="B13" s="120" t="s">
        <v>252</v>
      </c>
      <c r="C13" s="120" t="s">
        <v>3042</v>
      </c>
      <c r="D13" s="120" t="s">
        <v>2775</v>
      </c>
      <c r="E13" s="120">
        <v>84.46</v>
      </c>
      <c r="F13" s="120" t="s">
        <v>3031</v>
      </c>
      <c r="G13" s="120" t="s">
        <v>3031</v>
      </c>
      <c r="H13" s="120" t="s">
        <v>3031</v>
      </c>
      <c r="I13" s="384">
        <v>84.46</v>
      </c>
      <c r="J13" s="384">
        <v>130.31</v>
      </c>
      <c r="K13" s="384">
        <f t="shared" si="0"/>
        <v>45.850000000000009</v>
      </c>
      <c r="L13" s="283">
        <f t="shared" si="1"/>
        <v>1</v>
      </c>
      <c r="M13" s="385">
        <f t="shared" si="2"/>
        <v>0.65</v>
      </c>
      <c r="N13" s="385">
        <f t="shared" si="3"/>
        <v>0.35</v>
      </c>
    </row>
    <row r="14" spans="1:14" ht="15" x14ac:dyDescent="0.25">
      <c r="A14" s="120">
        <v>804</v>
      </c>
      <c r="B14" s="120" t="s">
        <v>235</v>
      </c>
      <c r="C14" s="120" t="s">
        <v>3043</v>
      </c>
      <c r="D14" s="120" t="s">
        <v>2942</v>
      </c>
      <c r="E14" s="120">
        <v>108.21</v>
      </c>
      <c r="F14" s="120" t="s">
        <v>3031</v>
      </c>
      <c r="G14" s="120" t="s">
        <v>3031</v>
      </c>
      <c r="H14" s="120" t="s">
        <v>3031</v>
      </c>
      <c r="I14" s="384">
        <v>108.21</v>
      </c>
      <c r="J14" s="384">
        <v>154.07</v>
      </c>
      <c r="K14" s="384">
        <f t="shared" si="0"/>
        <v>45.86</v>
      </c>
      <c r="L14" s="283">
        <f t="shared" si="1"/>
        <v>1</v>
      </c>
      <c r="M14" s="385">
        <f t="shared" si="2"/>
        <v>0.7</v>
      </c>
      <c r="N14" s="385">
        <f t="shared" si="3"/>
        <v>0.3</v>
      </c>
    </row>
    <row r="15" spans="1:14" ht="15" x14ac:dyDescent="0.25">
      <c r="A15" s="120">
        <v>806</v>
      </c>
      <c r="B15" s="120" t="s">
        <v>318</v>
      </c>
      <c r="C15" s="120" t="s">
        <v>3044</v>
      </c>
      <c r="D15" s="120" t="s">
        <v>2943</v>
      </c>
      <c r="E15" s="120">
        <v>123.18</v>
      </c>
      <c r="F15" s="120" t="s">
        <v>3031</v>
      </c>
      <c r="G15" s="120" t="s">
        <v>3031</v>
      </c>
      <c r="H15" s="120" t="s">
        <v>3031</v>
      </c>
      <c r="I15" s="384">
        <v>123.18</v>
      </c>
      <c r="J15" s="384">
        <v>169.04</v>
      </c>
      <c r="K15" s="384">
        <f t="shared" si="0"/>
        <v>45.859999999999985</v>
      </c>
      <c r="L15" s="283">
        <f t="shared" si="1"/>
        <v>1</v>
      </c>
      <c r="M15" s="385">
        <f t="shared" si="2"/>
        <v>0.73</v>
      </c>
      <c r="N15" s="385">
        <f t="shared" si="3"/>
        <v>0.27</v>
      </c>
    </row>
    <row r="16" spans="1:14" ht="15" x14ac:dyDescent="0.25">
      <c r="A16" s="120">
        <v>808</v>
      </c>
      <c r="B16" s="120" t="s">
        <v>202</v>
      </c>
      <c r="C16" s="120" t="s">
        <v>3045</v>
      </c>
      <c r="D16" s="120" t="s">
        <v>2944</v>
      </c>
      <c r="E16" s="120">
        <v>151.05000000000001</v>
      </c>
      <c r="F16" s="120" t="s">
        <v>3031</v>
      </c>
      <c r="G16" s="120" t="s">
        <v>3031</v>
      </c>
      <c r="H16" s="120" t="s">
        <v>3031</v>
      </c>
      <c r="I16" s="384">
        <v>151.05000000000001</v>
      </c>
      <c r="J16" s="384">
        <v>212.04000000000002</v>
      </c>
      <c r="K16" s="384">
        <f t="shared" si="0"/>
        <v>60.990000000000009</v>
      </c>
      <c r="L16" s="283">
        <f t="shared" si="1"/>
        <v>1</v>
      </c>
      <c r="M16" s="385">
        <f t="shared" si="2"/>
        <v>0.71</v>
      </c>
      <c r="N16" s="385">
        <f t="shared" si="3"/>
        <v>0.28999999999999998</v>
      </c>
    </row>
    <row r="17" spans="1:14" ht="15" x14ac:dyDescent="0.25">
      <c r="A17" s="120">
        <v>810</v>
      </c>
      <c r="B17" s="120" t="s">
        <v>64</v>
      </c>
      <c r="C17" s="120" t="s">
        <v>3046</v>
      </c>
      <c r="D17" s="120" t="s">
        <v>2945</v>
      </c>
      <c r="E17" s="120">
        <v>144.97</v>
      </c>
      <c r="F17" s="120" t="s">
        <v>3031</v>
      </c>
      <c r="G17" s="120" t="s">
        <v>3031</v>
      </c>
      <c r="H17" s="120" t="s">
        <v>3031</v>
      </c>
      <c r="I17" s="384">
        <v>144.97</v>
      </c>
      <c r="J17" s="384">
        <v>205.9</v>
      </c>
      <c r="K17" s="384">
        <f t="shared" si="0"/>
        <v>60.930000000000007</v>
      </c>
      <c r="L17" s="283">
        <f t="shared" si="1"/>
        <v>1</v>
      </c>
      <c r="M17" s="385">
        <f t="shared" si="2"/>
        <v>0.7</v>
      </c>
      <c r="N17" s="385">
        <f t="shared" si="3"/>
        <v>0.3</v>
      </c>
    </row>
    <row r="18" spans="1:14" ht="15" x14ac:dyDescent="0.25">
      <c r="A18" s="120">
        <v>812</v>
      </c>
      <c r="B18" s="120" t="s">
        <v>329</v>
      </c>
      <c r="C18" s="120" t="s">
        <v>3047</v>
      </c>
      <c r="D18" s="120" t="s">
        <v>2946</v>
      </c>
      <c r="E18" s="120">
        <v>187.92</v>
      </c>
      <c r="F18" s="120" t="s">
        <v>3031</v>
      </c>
      <c r="G18" s="120" t="s">
        <v>3031</v>
      </c>
      <c r="H18" s="120" t="s">
        <v>3031</v>
      </c>
      <c r="I18" s="384">
        <v>187.92</v>
      </c>
      <c r="J18" s="384">
        <v>284.39000000000004</v>
      </c>
      <c r="K18" s="384">
        <f t="shared" si="0"/>
        <v>96.470000000000056</v>
      </c>
      <c r="L18" s="283">
        <f t="shared" si="1"/>
        <v>1</v>
      </c>
      <c r="M18" s="385">
        <f t="shared" si="2"/>
        <v>0.66</v>
      </c>
      <c r="N18" s="385">
        <f t="shared" si="3"/>
        <v>0.34</v>
      </c>
    </row>
    <row r="19" spans="1:14" ht="15" x14ac:dyDescent="0.25">
      <c r="A19" s="120">
        <v>814</v>
      </c>
      <c r="B19" s="120" t="s">
        <v>282</v>
      </c>
      <c r="C19" s="120" t="s">
        <v>3048</v>
      </c>
      <c r="D19" s="120" t="s">
        <v>2947</v>
      </c>
      <c r="E19" s="120">
        <v>177.23</v>
      </c>
      <c r="F19" s="120" t="s">
        <v>3031</v>
      </c>
      <c r="G19" s="120" t="s">
        <v>3031</v>
      </c>
      <c r="H19" s="120" t="s">
        <v>3031</v>
      </c>
      <c r="I19" s="384">
        <v>177.23</v>
      </c>
      <c r="J19" s="384">
        <v>240.01000000000002</v>
      </c>
      <c r="K19" s="384">
        <f t="shared" si="0"/>
        <v>62.78000000000003</v>
      </c>
      <c r="L19" s="283">
        <f t="shared" si="1"/>
        <v>1</v>
      </c>
      <c r="M19" s="385">
        <f t="shared" si="2"/>
        <v>0.74</v>
      </c>
      <c r="N19" s="385">
        <f t="shared" si="3"/>
        <v>0.26</v>
      </c>
    </row>
    <row r="20" spans="1:14" ht="15" x14ac:dyDescent="0.25">
      <c r="A20" s="120">
        <v>780</v>
      </c>
      <c r="B20" s="120" t="s">
        <v>126</v>
      </c>
      <c r="C20" s="120" t="s">
        <v>3049</v>
      </c>
      <c r="D20" s="120" t="s">
        <v>2782</v>
      </c>
      <c r="E20" s="120">
        <v>135.03</v>
      </c>
      <c r="F20" s="120" t="s">
        <v>3031</v>
      </c>
      <c r="G20" s="120" t="s">
        <v>3031</v>
      </c>
      <c r="H20" s="120" t="s">
        <v>3031</v>
      </c>
      <c r="I20" s="384">
        <v>135.03</v>
      </c>
      <c r="J20" s="384">
        <v>135.03</v>
      </c>
      <c r="K20" s="384">
        <f t="shared" si="0"/>
        <v>0</v>
      </c>
      <c r="L20" s="283">
        <f t="shared" si="1"/>
        <v>1</v>
      </c>
      <c r="M20" s="385">
        <f t="shared" si="2"/>
        <v>1</v>
      </c>
      <c r="N20" s="385">
        <f t="shared" si="3"/>
        <v>0</v>
      </c>
    </row>
    <row r="21" spans="1:14" ht="15" x14ac:dyDescent="0.25">
      <c r="A21" s="120">
        <v>781</v>
      </c>
      <c r="B21" s="120" t="s">
        <v>257</v>
      </c>
      <c r="C21" s="120" t="s">
        <v>3050</v>
      </c>
      <c r="D21" s="120" t="s">
        <v>2783</v>
      </c>
      <c r="E21" s="120">
        <v>175.55</v>
      </c>
      <c r="F21" s="120" t="s">
        <v>3031</v>
      </c>
      <c r="G21" s="120" t="s">
        <v>3031</v>
      </c>
      <c r="H21" s="120" t="s">
        <v>3031</v>
      </c>
      <c r="I21" s="384">
        <v>175.55</v>
      </c>
      <c r="J21" s="384">
        <v>175.55</v>
      </c>
      <c r="K21" s="384">
        <f t="shared" si="0"/>
        <v>0</v>
      </c>
      <c r="L21" s="283">
        <f t="shared" si="1"/>
        <v>1</v>
      </c>
      <c r="M21" s="385">
        <f t="shared" si="2"/>
        <v>1</v>
      </c>
      <c r="N21" s="385">
        <f t="shared" si="3"/>
        <v>0</v>
      </c>
    </row>
    <row r="22" spans="1:14" ht="15" x14ac:dyDescent="0.25">
      <c r="A22" s="120">
        <v>782</v>
      </c>
      <c r="B22" s="120" t="s">
        <v>272</v>
      </c>
      <c r="C22" s="120" t="s">
        <v>3051</v>
      </c>
      <c r="D22" s="120" t="s">
        <v>2784</v>
      </c>
      <c r="E22" s="120">
        <v>217.66</v>
      </c>
      <c r="F22" s="120" t="s">
        <v>3031</v>
      </c>
      <c r="G22" s="120" t="s">
        <v>3031</v>
      </c>
      <c r="H22" s="120" t="s">
        <v>3031</v>
      </c>
      <c r="I22" s="384">
        <v>217.66</v>
      </c>
      <c r="J22" s="384">
        <v>217.66</v>
      </c>
      <c r="K22" s="384">
        <f t="shared" si="0"/>
        <v>0</v>
      </c>
      <c r="L22" s="283">
        <f t="shared" si="1"/>
        <v>1</v>
      </c>
      <c r="M22" s="385">
        <f t="shared" si="2"/>
        <v>1</v>
      </c>
      <c r="N22" s="385">
        <f t="shared" si="3"/>
        <v>0</v>
      </c>
    </row>
    <row r="23" spans="1:14" ht="15" x14ac:dyDescent="0.25">
      <c r="A23" s="120">
        <v>783</v>
      </c>
      <c r="B23" s="120" t="s">
        <v>241</v>
      </c>
      <c r="C23" s="120" t="s">
        <v>3052</v>
      </c>
      <c r="D23" s="120" t="s">
        <v>2785</v>
      </c>
      <c r="E23" s="120">
        <v>257.89</v>
      </c>
      <c r="F23" s="120" t="s">
        <v>3031</v>
      </c>
      <c r="G23" s="120" t="s">
        <v>3031</v>
      </c>
      <c r="H23" s="120" t="s">
        <v>3031</v>
      </c>
      <c r="I23" s="384">
        <v>257.89</v>
      </c>
      <c r="J23" s="384">
        <v>257.89</v>
      </c>
      <c r="K23" s="384">
        <f t="shared" si="0"/>
        <v>0</v>
      </c>
      <c r="L23" s="283">
        <f t="shared" si="1"/>
        <v>1</v>
      </c>
      <c r="M23" s="385">
        <f t="shared" si="2"/>
        <v>1</v>
      </c>
      <c r="N23" s="385">
        <f t="shared" si="3"/>
        <v>0</v>
      </c>
    </row>
    <row r="24" spans="1:14" ht="15" x14ac:dyDescent="0.25">
      <c r="A24" s="120">
        <v>784</v>
      </c>
      <c r="B24" s="120" t="s">
        <v>206</v>
      </c>
      <c r="C24" s="120" t="s">
        <v>3053</v>
      </c>
      <c r="D24" s="120" t="s">
        <v>2786</v>
      </c>
      <c r="E24" s="120">
        <v>256.68</v>
      </c>
      <c r="F24" s="120" t="s">
        <v>3031</v>
      </c>
      <c r="G24" s="120" t="s">
        <v>3031</v>
      </c>
      <c r="H24" s="120" t="s">
        <v>3031</v>
      </c>
      <c r="I24" s="384">
        <v>256.68</v>
      </c>
      <c r="J24" s="384">
        <v>256.68</v>
      </c>
      <c r="K24" s="384">
        <f t="shared" si="0"/>
        <v>0</v>
      </c>
      <c r="L24" s="283">
        <f t="shared" si="1"/>
        <v>1</v>
      </c>
      <c r="M24" s="385">
        <f t="shared" si="2"/>
        <v>1</v>
      </c>
      <c r="N24" s="385">
        <f t="shared" si="3"/>
        <v>0</v>
      </c>
    </row>
    <row r="25" spans="1:14" ht="15" x14ac:dyDescent="0.25">
      <c r="A25" s="120">
        <v>790</v>
      </c>
      <c r="B25" s="120" t="s">
        <v>566</v>
      </c>
      <c r="C25" s="120" t="s">
        <v>3054</v>
      </c>
      <c r="D25" s="120" t="s">
        <v>2787</v>
      </c>
      <c r="E25" s="120">
        <v>335.85</v>
      </c>
      <c r="F25" s="120" t="s">
        <v>3031</v>
      </c>
      <c r="G25" s="120" t="s">
        <v>3031</v>
      </c>
      <c r="H25" s="120" t="s">
        <v>3031</v>
      </c>
      <c r="I25" s="384">
        <v>335.85</v>
      </c>
      <c r="J25" s="384">
        <v>335.85</v>
      </c>
      <c r="K25" s="384">
        <f t="shared" si="0"/>
        <v>0</v>
      </c>
      <c r="L25" s="283">
        <f t="shared" si="1"/>
        <v>1</v>
      </c>
      <c r="M25" s="385">
        <f t="shared" si="2"/>
        <v>1</v>
      </c>
      <c r="N25" s="385">
        <f t="shared" si="3"/>
        <v>0</v>
      </c>
    </row>
    <row r="26" spans="1:14" ht="15" x14ac:dyDescent="0.25">
      <c r="A26" s="120">
        <v>820</v>
      </c>
      <c r="B26" s="120" t="s">
        <v>217</v>
      </c>
      <c r="C26" s="120" t="s">
        <v>3055</v>
      </c>
      <c r="D26" s="120" t="s">
        <v>2788</v>
      </c>
      <c r="E26" s="120">
        <v>90.34</v>
      </c>
      <c r="F26" s="120" t="s">
        <v>3031</v>
      </c>
      <c r="G26" s="120" t="s">
        <v>3031</v>
      </c>
      <c r="H26" s="120" t="s">
        <v>3031</v>
      </c>
      <c r="I26" s="384">
        <v>90.34</v>
      </c>
      <c r="J26" s="384">
        <v>145.44</v>
      </c>
      <c r="K26" s="384">
        <f t="shared" si="0"/>
        <v>55.099999999999994</v>
      </c>
      <c r="L26" s="283">
        <f t="shared" si="1"/>
        <v>1</v>
      </c>
      <c r="M26" s="385">
        <f t="shared" si="2"/>
        <v>0.62</v>
      </c>
      <c r="N26" s="385">
        <f t="shared" si="3"/>
        <v>0.38</v>
      </c>
    </row>
    <row r="27" spans="1:14" x14ac:dyDescent="0.3">
      <c r="A27" s="120">
        <v>822</v>
      </c>
      <c r="B27" s="120" t="s">
        <v>123</v>
      </c>
      <c r="C27" s="120" t="s">
        <v>3056</v>
      </c>
      <c r="D27" s="120" t="s">
        <v>2789</v>
      </c>
      <c r="E27" s="120">
        <v>119.6</v>
      </c>
      <c r="F27" s="120" t="s">
        <v>3031</v>
      </c>
      <c r="G27" s="120" t="s">
        <v>3031</v>
      </c>
      <c r="H27" s="120" t="s">
        <v>3031</v>
      </c>
      <c r="I27" s="384">
        <v>119.6</v>
      </c>
      <c r="J27" s="384">
        <v>170.55</v>
      </c>
      <c r="K27" s="384">
        <f t="shared" si="0"/>
        <v>50.950000000000017</v>
      </c>
      <c r="L27" s="283">
        <f t="shared" si="1"/>
        <v>1</v>
      </c>
      <c r="M27" s="385">
        <f t="shared" si="2"/>
        <v>0.7</v>
      </c>
      <c r="N27" s="385">
        <f t="shared" si="3"/>
        <v>0.3</v>
      </c>
    </row>
    <row r="28" spans="1:14" x14ac:dyDescent="0.3">
      <c r="A28" s="120">
        <v>824</v>
      </c>
      <c r="B28" s="120" t="s">
        <v>181</v>
      </c>
      <c r="C28" s="120" t="s">
        <v>3057</v>
      </c>
      <c r="D28" s="120" t="s">
        <v>2961</v>
      </c>
      <c r="E28" s="120">
        <v>129.37</v>
      </c>
      <c r="F28" s="120" t="s">
        <v>3031</v>
      </c>
      <c r="G28" s="120" t="s">
        <v>3031</v>
      </c>
      <c r="H28" s="120" t="s">
        <v>3031</v>
      </c>
      <c r="I28" s="384">
        <v>129.37</v>
      </c>
      <c r="J28" s="384">
        <v>184.48000000000002</v>
      </c>
      <c r="K28" s="384">
        <f t="shared" si="0"/>
        <v>55.110000000000014</v>
      </c>
      <c r="L28" s="283">
        <f t="shared" si="1"/>
        <v>1</v>
      </c>
      <c r="M28" s="385">
        <f t="shared" si="2"/>
        <v>0.7</v>
      </c>
      <c r="N28" s="385">
        <f t="shared" si="3"/>
        <v>0.3</v>
      </c>
    </row>
    <row r="29" spans="1:14" x14ac:dyDescent="0.3">
      <c r="A29" s="120">
        <v>826</v>
      </c>
      <c r="B29" s="120" t="s">
        <v>233</v>
      </c>
      <c r="C29" s="120" t="s">
        <v>3058</v>
      </c>
      <c r="D29" s="120" t="s">
        <v>2962</v>
      </c>
      <c r="E29" s="120">
        <v>146.38999999999999</v>
      </c>
      <c r="F29" s="120" t="s">
        <v>3031</v>
      </c>
      <c r="G29" s="120" t="s">
        <v>3031</v>
      </c>
      <c r="H29" s="120" t="s">
        <v>3031</v>
      </c>
      <c r="I29" s="384">
        <v>146.38999999999999</v>
      </c>
      <c r="J29" s="384">
        <v>197.35</v>
      </c>
      <c r="K29" s="384">
        <f t="shared" si="0"/>
        <v>50.960000000000008</v>
      </c>
      <c r="L29" s="283">
        <f t="shared" si="1"/>
        <v>1</v>
      </c>
      <c r="M29" s="385">
        <f t="shared" si="2"/>
        <v>0.74</v>
      </c>
      <c r="N29" s="385">
        <f t="shared" si="3"/>
        <v>0.26</v>
      </c>
    </row>
    <row r="30" spans="1:14" x14ac:dyDescent="0.3">
      <c r="A30" s="120">
        <v>828</v>
      </c>
      <c r="B30" s="120" t="s">
        <v>155</v>
      </c>
      <c r="C30" s="120" t="s">
        <v>3059</v>
      </c>
      <c r="D30" s="120" t="s">
        <v>2963</v>
      </c>
      <c r="E30" s="120">
        <v>173.47</v>
      </c>
      <c r="F30" s="120" t="s">
        <v>3031</v>
      </c>
      <c r="G30" s="120" t="s">
        <v>3031</v>
      </c>
      <c r="H30" s="120" t="s">
        <v>3031</v>
      </c>
      <c r="I30" s="384">
        <v>173.47</v>
      </c>
      <c r="J30" s="384">
        <v>229.36</v>
      </c>
      <c r="K30" s="384">
        <f t="shared" si="0"/>
        <v>55.890000000000015</v>
      </c>
      <c r="L30" s="283">
        <f t="shared" si="1"/>
        <v>1</v>
      </c>
      <c r="M30" s="385">
        <f t="shared" si="2"/>
        <v>0.76</v>
      </c>
      <c r="N30" s="385">
        <f t="shared" si="3"/>
        <v>0.24</v>
      </c>
    </row>
    <row r="31" spans="1:14" x14ac:dyDescent="0.3">
      <c r="A31" s="120">
        <v>830</v>
      </c>
      <c r="B31" s="120" t="s">
        <v>380</v>
      </c>
      <c r="C31" s="120" t="s">
        <v>3060</v>
      </c>
      <c r="D31" s="120" t="s">
        <v>2964</v>
      </c>
      <c r="E31" s="120">
        <v>192.71</v>
      </c>
      <c r="F31" s="120" t="s">
        <v>3031</v>
      </c>
      <c r="G31" s="120" t="s">
        <v>3031</v>
      </c>
      <c r="H31" s="120" t="s">
        <v>3031</v>
      </c>
      <c r="I31" s="384">
        <v>192.71</v>
      </c>
      <c r="J31" s="384">
        <v>246.31</v>
      </c>
      <c r="K31" s="384">
        <f t="shared" si="0"/>
        <v>53.599999999999994</v>
      </c>
      <c r="L31" s="283">
        <f t="shared" si="1"/>
        <v>1</v>
      </c>
      <c r="M31" s="385">
        <f t="shared" si="2"/>
        <v>0.78</v>
      </c>
      <c r="N31" s="385">
        <f t="shared" si="3"/>
        <v>0.22</v>
      </c>
    </row>
    <row r="32" spans="1:14" x14ac:dyDescent="0.3">
      <c r="A32" s="120">
        <v>832</v>
      </c>
      <c r="B32" s="120" t="s">
        <v>178</v>
      </c>
      <c r="C32" s="120" t="s">
        <v>3061</v>
      </c>
      <c r="D32" s="120" t="s">
        <v>2965</v>
      </c>
      <c r="E32" s="120">
        <v>207.69</v>
      </c>
      <c r="F32" s="120" t="s">
        <v>3031</v>
      </c>
      <c r="G32" s="120" t="s">
        <v>3031</v>
      </c>
      <c r="H32" s="120" t="s">
        <v>3031</v>
      </c>
      <c r="I32" s="384">
        <v>207.69</v>
      </c>
      <c r="J32" s="384">
        <v>254.46</v>
      </c>
      <c r="K32" s="384">
        <f t="shared" si="0"/>
        <v>46.77000000000001</v>
      </c>
      <c r="L32" s="283">
        <f t="shared" si="1"/>
        <v>1</v>
      </c>
      <c r="M32" s="385">
        <f t="shared" si="2"/>
        <v>0.82</v>
      </c>
      <c r="N32" s="385">
        <f t="shared" si="3"/>
        <v>0.18</v>
      </c>
    </row>
    <row r="33" spans="1:14" x14ac:dyDescent="0.3">
      <c r="A33" s="120">
        <v>850</v>
      </c>
      <c r="B33" s="120" t="s">
        <v>307</v>
      </c>
      <c r="C33" s="120" t="s">
        <v>3062</v>
      </c>
      <c r="D33" s="120" t="s">
        <v>2975</v>
      </c>
      <c r="E33" s="120">
        <v>118.2</v>
      </c>
      <c r="F33" s="120" t="s">
        <v>3031</v>
      </c>
      <c r="G33" s="120" t="s">
        <v>3031</v>
      </c>
      <c r="H33" s="120" t="s">
        <v>3031</v>
      </c>
      <c r="I33" s="384">
        <v>118.2</v>
      </c>
      <c r="J33" s="384">
        <v>179.05</v>
      </c>
      <c r="K33" s="384">
        <f t="shared" si="0"/>
        <v>60.850000000000009</v>
      </c>
      <c r="L33" s="283">
        <f t="shared" si="1"/>
        <v>1</v>
      </c>
      <c r="M33" s="385">
        <f t="shared" si="2"/>
        <v>0.66</v>
      </c>
      <c r="N33" s="385">
        <f t="shared" si="3"/>
        <v>0.34</v>
      </c>
    </row>
    <row r="34" spans="1:14" x14ac:dyDescent="0.3">
      <c r="A34" s="120">
        <v>852</v>
      </c>
      <c r="B34" s="120" t="s">
        <v>227</v>
      </c>
      <c r="C34" s="120" t="s">
        <v>3063</v>
      </c>
      <c r="D34" s="120" t="s">
        <v>2976</v>
      </c>
      <c r="E34" s="120">
        <v>231.62</v>
      </c>
      <c r="F34" s="120" t="s">
        <v>3031</v>
      </c>
      <c r="G34" s="120" t="s">
        <v>3031</v>
      </c>
      <c r="H34" s="120" t="s">
        <v>3031</v>
      </c>
      <c r="I34" s="384">
        <v>231.62</v>
      </c>
      <c r="J34" s="384">
        <v>307.2</v>
      </c>
      <c r="K34" s="384">
        <f t="shared" si="0"/>
        <v>75.579999999999984</v>
      </c>
      <c r="L34" s="283">
        <f t="shared" si="1"/>
        <v>1</v>
      </c>
      <c r="M34" s="385">
        <f t="shared" si="2"/>
        <v>0.75</v>
      </c>
      <c r="N34" s="385">
        <f t="shared" si="3"/>
        <v>0.25</v>
      </c>
    </row>
    <row r="35" spans="1:14" x14ac:dyDescent="0.3">
      <c r="A35" s="120">
        <v>854</v>
      </c>
      <c r="B35" s="120" t="s">
        <v>103</v>
      </c>
      <c r="C35" s="120" t="s">
        <v>3064</v>
      </c>
      <c r="D35" s="120" t="s">
        <v>2977</v>
      </c>
      <c r="E35" s="120">
        <v>266.31</v>
      </c>
      <c r="F35" s="120" t="s">
        <v>3031</v>
      </c>
      <c r="G35" s="120" t="s">
        <v>3031</v>
      </c>
      <c r="H35" s="120" t="s">
        <v>3031</v>
      </c>
      <c r="I35" s="384">
        <v>266.31</v>
      </c>
      <c r="J35" s="384">
        <v>353.17</v>
      </c>
      <c r="K35" s="384">
        <f t="shared" si="0"/>
        <v>86.860000000000014</v>
      </c>
      <c r="L35" s="283">
        <f t="shared" si="1"/>
        <v>1</v>
      </c>
      <c r="M35" s="385">
        <f t="shared" si="2"/>
        <v>0.75</v>
      </c>
      <c r="N35" s="385">
        <f t="shared" si="3"/>
        <v>0.25</v>
      </c>
    </row>
    <row r="36" spans="1:14" x14ac:dyDescent="0.3">
      <c r="A36" s="120">
        <v>856</v>
      </c>
      <c r="B36" s="120" t="s">
        <v>376</v>
      </c>
      <c r="C36" s="120" t="s">
        <v>3065</v>
      </c>
      <c r="D36" s="120" t="s">
        <v>2978</v>
      </c>
      <c r="E36" s="120">
        <v>179.04</v>
      </c>
      <c r="F36" s="120" t="s">
        <v>3031</v>
      </c>
      <c r="G36" s="120" t="s">
        <v>3031</v>
      </c>
      <c r="H36" s="120" t="s">
        <v>3031</v>
      </c>
      <c r="I36" s="384">
        <v>179.04</v>
      </c>
      <c r="J36" s="384">
        <v>239.86</v>
      </c>
      <c r="K36" s="384">
        <f t="shared" si="0"/>
        <v>60.820000000000022</v>
      </c>
      <c r="L36" s="283">
        <f t="shared" si="1"/>
        <v>1</v>
      </c>
      <c r="M36" s="385">
        <f t="shared" si="2"/>
        <v>0.75</v>
      </c>
      <c r="N36" s="385">
        <f t="shared" si="3"/>
        <v>0.25</v>
      </c>
    </row>
    <row r="37" spans="1:14" x14ac:dyDescent="0.3">
      <c r="A37" s="120">
        <v>840</v>
      </c>
      <c r="B37" s="120" t="s">
        <v>113</v>
      </c>
      <c r="C37" s="120" t="s">
        <v>3066</v>
      </c>
      <c r="D37" s="120" t="s">
        <v>2799</v>
      </c>
      <c r="E37" s="120">
        <v>71.83</v>
      </c>
      <c r="F37" s="120" t="s">
        <v>3031</v>
      </c>
      <c r="G37" s="120" t="s">
        <v>3031</v>
      </c>
      <c r="H37" s="120" t="s">
        <v>3031</v>
      </c>
      <c r="I37" s="384">
        <v>71.83</v>
      </c>
      <c r="J37" s="384">
        <v>123.92999999999999</v>
      </c>
      <c r="K37" s="384">
        <f t="shared" si="0"/>
        <v>52.099999999999994</v>
      </c>
      <c r="L37" s="283">
        <f t="shared" si="1"/>
        <v>1</v>
      </c>
      <c r="M37" s="385">
        <f t="shared" si="2"/>
        <v>0.57999999999999996</v>
      </c>
      <c r="N37" s="385">
        <f t="shared" si="3"/>
        <v>0.42</v>
      </c>
    </row>
    <row r="38" spans="1:14" x14ac:dyDescent="0.3">
      <c r="A38" s="120">
        <v>842</v>
      </c>
      <c r="B38" s="120" t="s">
        <v>200</v>
      </c>
      <c r="C38" s="120" t="s">
        <v>3067</v>
      </c>
      <c r="D38" s="120" t="s">
        <v>2800</v>
      </c>
      <c r="E38" s="120">
        <v>106.49</v>
      </c>
      <c r="F38" s="120" t="s">
        <v>3031</v>
      </c>
      <c r="G38" s="120" t="s">
        <v>3031</v>
      </c>
      <c r="H38" s="120" t="s">
        <v>3031</v>
      </c>
      <c r="I38" s="384">
        <v>106.49</v>
      </c>
      <c r="J38" s="384">
        <v>151.33000000000001</v>
      </c>
      <c r="K38" s="384">
        <f t="shared" si="0"/>
        <v>44.840000000000018</v>
      </c>
      <c r="L38" s="283">
        <f t="shared" si="1"/>
        <v>1</v>
      </c>
      <c r="M38" s="385">
        <f t="shared" si="2"/>
        <v>0.7</v>
      </c>
      <c r="N38" s="385">
        <f t="shared" si="3"/>
        <v>0.3</v>
      </c>
    </row>
    <row r="39" spans="1:14" x14ac:dyDescent="0.3">
      <c r="A39" s="120">
        <v>844</v>
      </c>
      <c r="B39" s="120" t="s">
        <v>286</v>
      </c>
      <c r="C39" s="120" t="s">
        <v>3068</v>
      </c>
      <c r="D39" s="120" t="s">
        <v>2988</v>
      </c>
      <c r="E39" s="120">
        <v>143.71</v>
      </c>
      <c r="F39" s="120" t="s">
        <v>3031</v>
      </c>
      <c r="G39" s="120" t="s">
        <v>3031</v>
      </c>
      <c r="H39" s="120" t="s">
        <v>3031</v>
      </c>
      <c r="I39" s="384">
        <v>143.71</v>
      </c>
      <c r="J39" s="384">
        <v>188.57000000000002</v>
      </c>
      <c r="K39" s="384">
        <f t="shared" si="0"/>
        <v>44.860000000000014</v>
      </c>
      <c r="L39" s="283">
        <f t="shared" si="1"/>
        <v>1</v>
      </c>
      <c r="M39" s="385">
        <f t="shared" si="2"/>
        <v>0.76</v>
      </c>
      <c r="N39" s="385">
        <f t="shared" si="3"/>
        <v>0.24</v>
      </c>
    </row>
    <row r="40" spans="1:14" x14ac:dyDescent="0.3">
      <c r="A40" s="120">
        <v>846</v>
      </c>
      <c r="B40" s="120" t="s">
        <v>58</v>
      </c>
      <c r="C40" s="120" t="s">
        <v>3069</v>
      </c>
      <c r="D40" s="120" t="s">
        <v>2989</v>
      </c>
      <c r="E40" s="120">
        <v>182.42</v>
      </c>
      <c r="F40" s="120" t="s">
        <v>3031</v>
      </c>
      <c r="G40" s="120" t="s">
        <v>3031</v>
      </c>
      <c r="H40" s="120" t="s">
        <v>3031</v>
      </c>
      <c r="I40" s="384">
        <v>182.42</v>
      </c>
      <c r="J40" s="384">
        <v>241.35</v>
      </c>
      <c r="K40" s="384">
        <f t="shared" si="0"/>
        <v>58.930000000000007</v>
      </c>
      <c r="L40" s="283">
        <f t="shared" si="1"/>
        <v>1</v>
      </c>
      <c r="M40" s="385">
        <f t="shared" si="2"/>
        <v>0.76</v>
      </c>
      <c r="N40" s="385">
        <f t="shared" si="3"/>
        <v>0.24</v>
      </c>
    </row>
    <row r="41" spans="1:14" x14ac:dyDescent="0.3">
      <c r="A41" s="120">
        <v>848</v>
      </c>
      <c r="B41" s="120" t="s">
        <v>258</v>
      </c>
      <c r="C41" s="120" t="s">
        <v>3070</v>
      </c>
      <c r="D41" s="120" t="s">
        <v>2990</v>
      </c>
      <c r="E41" s="120">
        <v>202.99</v>
      </c>
      <c r="F41" s="120" t="s">
        <v>3031</v>
      </c>
      <c r="G41" s="120" t="s">
        <v>3031</v>
      </c>
      <c r="H41" s="120" t="s">
        <v>3031</v>
      </c>
      <c r="I41" s="384">
        <v>202.99</v>
      </c>
      <c r="J41" s="384">
        <v>263.76</v>
      </c>
      <c r="K41" s="384">
        <f t="shared" si="0"/>
        <v>60.769999999999982</v>
      </c>
      <c r="L41" s="283">
        <f t="shared" si="1"/>
        <v>1</v>
      </c>
      <c r="M41" s="385">
        <f t="shared" si="2"/>
        <v>0.77</v>
      </c>
      <c r="N41" s="385">
        <f t="shared" si="3"/>
        <v>0.23</v>
      </c>
    </row>
  </sheetData>
  <sheetProtection password="CF05"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AB48"/>
  <sheetViews>
    <sheetView topLeftCell="A7" zoomScale="85" zoomScaleNormal="85" workbookViewId="0">
      <selection activeCell="H44" sqref="H44"/>
    </sheetView>
  </sheetViews>
  <sheetFormatPr defaultRowHeight="14.4" x14ac:dyDescent="0.3"/>
  <cols>
    <col min="1" max="1" width="8.5546875" bestFit="1" customWidth="1"/>
    <col min="2" max="2" width="11.6640625" bestFit="1" customWidth="1"/>
    <col min="3" max="3" width="13.44140625" style="2" customWidth="1"/>
    <col min="4" max="4" width="7.6640625" style="2" bestFit="1" customWidth="1"/>
    <col min="5" max="7" width="15.44140625" style="2" customWidth="1"/>
    <col min="8" max="8" width="15.33203125" style="2" bestFit="1" customWidth="1"/>
    <col min="9" max="9" width="8.6640625" style="2" bestFit="1" customWidth="1"/>
    <col min="10" max="10" width="11.44140625" style="2" customWidth="1"/>
    <col min="11" max="11" width="7.6640625" style="2" customWidth="1"/>
    <col min="12" max="17" width="9.33203125" style="2"/>
    <col min="18" max="18" width="10.5546875" style="38" bestFit="1" customWidth="1"/>
    <col min="19" max="19" width="9.33203125" style="2"/>
    <col min="20" max="20" width="12.6640625" style="2" customWidth="1"/>
    <col min="21" max="28" width="9.33203125" style="2"/>
  </cols>
  <sheetData>
    <row r="1" spans="1:28" s="4" customFormat="1" ht="57.6" x14ac:dyDescent="0.3">
      <c r="A1" s="4" t="s">
        <v>2</v>
      </c>
      <c r="B1" s="4" t="s">
        <v>1</v>
      </c>
      <c r="C1" s="5" t="s">
        <v>1286</v>
      </c>
      <c r="D1" s="5" t="s">
        <v>1285</v>
      </c>
      <c r="E1" s="5" t="s">
        <v>1301</v>
      </c>
      <c r="F1" s="5" t="s">
        <v>1299</v>
      </c>
      <c r="G1" s="5" t="s">
        <v>1300</v>
      </c>
      <c r="H1" s="5" t="s">
        <v>1307</v>
      </c>
      <c r="I1" s="5" t="s">
        <v>1308</v>
      </c>
      <c r="J1" s="5" t="s">
        <v>1302</v>
      </c>
      <c r="K1" s="5" t="s">
        <v>1245</v>
      </c>
      <c r="L1" s="5" t="s">
        <v>1246</v>
      </c>
      <c r="M1" s="5" t="s">
        <v>1247</v>
      </c>
      <c r="N1" s="5" t="s">
        <v>1248</v>
      </c>
      <c r="O1" s="5" t="s">
        <v>1249</v>
      </c>
      <c r="P1" s="5" t="s">
        <v>1250</v>
      </c>
      <c r="Q1" s="5" t="s">
        <v>1304</v>
      </c>
      <c r="R1" s="5"/>
      <c r="S1" s="5" t="s">
        <v>1283</v>
      </c>
      <c r="T1" s="5" t="s">
        <v>1284</v>
      </c>
      <c r="U1" s="5" t="s">
        <v>1282</v>
      </c>
      <c r="V1" s="5" t="s">
        <v>1251</v>
      </c>
      <c r="W1" s="5" t="s">
        <v>1275</v>
      </c>
      <c r="X1" s="5" t="s">
        <v>1277</v>
      </c>
      <c r="Y1" s="5" t="s">
        <v>1276</v>
      </c>
      <c r="Z1" s="5" t="s">
        <v>1279</v>
      </c>
      <c r="AA1" s="5" t="s">
        <v>1280</v>
      </c>
      <c r="AB1" s="5" t="s">
        <v>1281</v>
      </c>
    </row>
    <row r="2" spans="1:28" ht="15" x14ac:dyDescent="0.25">
      <c r="A2">
        <v>2015</v>
      </c>
      <c r="B2" t="s">
        <v>48</v>
      </c>
      <c r="C2" s="2" t="s">
        <v>1167</v>
      </c>
      <c r="D2" s="2" t="s">
        <v>1214</v>
      </c>
      <c r="E2" s="2" t="s">
        <v>1148</v>
      </c>
      <c r="F2" s="2" t="s">
        <v>1287</v>
      </c>
      <c r="G2" s="2" t="s">
        <v>1148</v>
      </c>
      <c r="H2" s="2">
        <v>66.75</v>
      </c>
      <c r="I2" s="2">
        <v>13.31</v>
      </c>
      <c r="J2" s="3">
        <v>29221.9</v>
      </c>
      <c r="K2" s="3" t="s">
        <v>1244</v>
      </c>
      <c r="L2" s="3" t="s">
        <v>1244</v>
      </c>
      <c r="M2" s="3">
        <f t="shared" ref="M2:M48" si="0">SUM(J2:L2)</f>
        <v>29221.9</v>
      </c>
      <c r="N2" s="2">
        <v>65.28</v>
      </c>
      <c r="O2" s="3">
        <v>23827.200000000001</v>
      </c>
      <c r="P2" s="2" t="s">
        <v>1244</v>
      </c>
      <c r="Q2" s="2" t="s">
        <v>1244</v>
      </c>
      <c r="R2" s="41" t="e">
        <f>Q2/52</f>
        <v>#VALUE!</v>
      </c>
      <c r="S2" s="3">
        <v>23827.200000000001</v>
      </c>
      <c r="T2" s="2" t="s">
        <v>1244</v>
      </c>
      <c r="U2" s="3" t="s">
        <v>1244</v>
      </c>
      <c r="V2" s="3">
        <f t="shared" ref="V2:V11" si="1">SUM(O2:Q2)</f>
        <v>23827.200000000001</v>
      </c>
      <c r="W2" s="2">
        <f>VLOOKUP(D2,'PGB (2)'!$A$3:$O$50,13,FALSE)</f>
        <v>14658</v>
      </c>
      <c r="X2" s="2">
        <f>VLOOKUP(D2,'PGB (2)'!$A$3:$O$50,15,FALSE)</f>
        <v>0</v>
      </c>
      <c r="Y2" s="2">
        <f>VLOOKUP(D2,'PGB (2)'!$A$3:$O$50,14,FALSE)</f>
        <v>14658</v>
      </c>
      <c r="Z2" s="2">
        <v>3357</v>
      </c>
      <c r="AA2" s="2">
        <f>W2-Z2</f>
        <v>11301</v>
      </c>
      <c r="AB2" s="2">
        <f>Y2-Z2</f>
        <v>11301</v>
      </c>
    </row>
    <row r="3" spans="1:28" ht="15" x14ac:dyDescent="0.25">
      <c r="A3">
        <v>2015</v>
      </c>
      <c r="B3" t="s">
        <v>48</v>
      </c>
      <c r="C3" s="2" t="s">
        <v>1168</v>
      </c>
      <c r="D3" s="2" t="s">
        <v>1215</v>
      </c>
      <c r="E3" s="2" t="s">
        <v>1148</v>
      </c>
      <c r="F3" s="2" t="s">
        <v>1287</v>
      </c>
      <c r="G3" s="2" t="s">
        <v>1148</v>
      </c>
      <c r="H3" s="2">
        <v>85.09</v>
      </c>
      <c r="I3" s="2">
        <v>13.930000000000001</v>
      </c>
      <c r="J3" s="3">
        <v>36142.300000000003</v>
      </c>
      <c r="K3" s="3" t="s">
        <v>1244</v>
      </c>
      <c r="L3" s="3" t="s">
        <v>1244</v>
      </c>
      <c r="M3" s="3">
        <f t="shared" si="0"/>
        <v>36142.300000000003</v>
      </c>
      <c r="N3" s="2">
        <v>82.93</v>
      </c>
      <c r="O3" s="3">
        <v>30269.45</v>
      </c>
      <c r="P3" s="2" t="s">
        <v>1244</v>
      </c>
      <c r="Q3" s="2" t="s">
        <v>1244</v>
      </c>
      <c r="R3" s="41" t="e">
        <f t="shared" ref="R3:R48" si="2">Q3/52</f>
        <v>#VALUE!</v>
      </c>
      <c r="S3" s="3">
        <v>30269.45</v>
      </c>
      <c r="T3" s="2" t="s">
        <v>1244</v>
      </c>
      <c r="U3" s="3" t="s">
        <v>1244</v>
      </c>
      <c r="V3" s="3">
        <f t="shared" si="1"/>
        <v>30269.45</v>
      </c>
      <c r="W3" s="2">
        <f>VLOOKUP(D3,'PGB (2)'!$A$3:$O$50,13,FALSE)</f>
        <v>21254</v>
      </c>
      <c r="X3" s="2">
        <f>VLOOKUP(D3,'PGB (2)'!$A$3:$O$50,15,FALSE)</f>
        <v>0</v>
      </c>
      <c r="Y3" s="2">
        <f>VLOOKUP(D3,'PGB (2)'!$A$3:$O$50,14,FALSE)</f>
        <v>21254</v>
      </c>
      <c r="Z3" s="2">
        <v>3357</v>
      </c>
      <c r="AA3" s="2">
        <f t="shared" ref="AA3:AA11" si="3">W3-Z3</f>
        <v>17897</v>
      </c>
      <c r="AB3" s="2">
        <f t="shared" ref="AB3:AB11" si="4">Y3-Z3</f>
        <v>17897</v>
      </c>
    </row>
    <row r="4" spans="1:28" ht="15" x14ac:dyDescent="0.25">
      <c r="A4">
        <v>2015</v>
      </c>
      <c r="B4" t="s">
        <v>48</v>
      </c>
      <c r="C4" s="2" t="s">
        <v>1169</v>
      </c>
      <c r="D4" s="2" t="s">
        <v>1216</v>
      </c>
      <c r="E4" s="2" t="s">
        <v>1148</v>
      </c>
      <c r="F4" s="2" t="s">
        <v>1287</v>
      </c>
      <c r="G4" s="2" t="s">
        <v>1148</v>
      </c>
      <c r="H4" s="2">
        <v>103.14</v>
      </c>
      <c r="I4" s="2">
        <v>15.13</v>
      </c>
      <c r="J4" s="3">
        <v>43168.549999999996</v>
      </c>
      <c r="K4" s="3" t="s">
        <v>1244</v>
      </c>
      <c r="L4" s="3">
        <v>9639.6500000000087</v>
      </c>
      <c r="M4" s="3">
        <f t="shared" si="0"/>
        <v>52808.200000000004</v>
      </c>
      <c r="N4" s="2">
        <v>99.99</v>
      </c>
      <c r="O4" s="3">
        <v>36496.35</v>
      </c>
      <c r="P4" s="2" t="s">
        <v>1244</v>
      </c>
      <c r="Q4" s="3">
        <v>7161.3000000000029</v>
      </c>
      <c r="R4" s="41">
        <f t="shared" si="2"/>
        <v>137.71730769230774</v>
      </c>
      <c r="S4" s="3">
        <v>36496.35</v>
      </c>
      <c r="T4" s="2" t="s">
        <v>1244</v>
      </c>
      <c r="U4" s="3">
        <f t="shared" ref="U4:U11" si="5">SUM(O4,Q4)</f>
        <v>43657.65</v>
      </c>
      <c r="V4" s="3">
        <f t="shared" si="1"/>
        <v>43657.65</v>
      </c>
      <c r="W4" s="2">
        <f>VLOOKUP(D4,'PGB (2)'!$A$3:$O$50,13,FALSE)</f>
        <v>25872</v>
      </c>
      <c r="X4" s="2">
        <f>VLOOKUP(D4,'PGB (2)'!$A$3:$O$50,15,FALSE)</f>
        <v>0</v>
      </c>
      <c r="Y4" s="2">
        <f>VLOOKUP(D4,'PGB (2)'!$A$3:$O$50,14,FALSE)</f>
        <v>25872</v>
      </c>
      <c r="Z4" s="2">
        <v>3357</v>
      </c>
      <c r="AA4" s="2">
        <f t="shared" si="3"/>
        <v>22515</v>
      </c>
      <c r="AB4" s="2">
        <f t="shared" si="4"/>
        <v>22515</v>
      </c>
    </row>
    <row r="5" spans="1:28" ht="15" x14ac:dyDescent="0.25">
      <c r="A5">
        <v>2015</v>
      </c>
      <c r="B5" t="s">
        <v>48</v>
      </c>
      <c r="C5" s="2" t="s">
        <v>1170</v>
      </c>
      <c r="D5" s="2" t="s">
        <v>1217</v>
      </c>
      <c r="E5" s="2" t="s">
        <v>1148</v>
      </c>
      <c r="F5" s="2" t="s">
        <v>1288</v>
      </c>
      <c r="G5" s="2" t="s">
        <v>1278</v>
      </c>
      <c r="H5" s="2">
        <v>117.33</v>
      </c>
      <c r="I5" s="2">
        <v>15.33</v>
      </c>
      <c r="J5" s="3">
        <v>48420.9</v>
      </c>
      <c r="K5" s="3" t="s">
        <v>1244</v>
      </c>
      <c r="L5" s="3">
        <v>9650.5999999999985</v>
      </c>
      <c r="M5" s="3">
        <f t="shared" si="0"/>
        <v>58071.5</v>
      </c>
      <c r="N5" s="2">
        <v>113.98</v>
      </c>
      <c r="O5" s="3">
        <v>41602.700000000004</v>
      </c>
      <c r="P5" s="2" t="s">
        <v>1244</v>
      </c>
      <c r="Q5" s="3">
        <v>7164.9499999999971</v>
      </c>
      <c r="R5" s="41">
        <f t="shared" si="2"/>
        <v>137.78749999999994</v>
      </c>
      <c r="S5" s="3">
        <v>41602.700000000004</v>
      </c>
      <c r="T5" s="2" t="s">
        <v>1244</v>
      </c>
      <c r="U5" s="3">
        <f t="shared" si="5"/>
        <v>48767.65</v>
      </c>
      <c r="V5" s="3">
        <f t="shared" si="1"/>
        <v>48767.65</v>
      </c>
      <c r="W5" s="2">
        <f>VLOOKUP(D5,'PGB (2)'!$A$3:$O$50,13,FALSE)</f>
        <v>34665</v>
      </c>
      <c r="X5" s="2">
        <f>VLOOKUP(D5,'PGB (2)'!$A$3:$O$50,15,FALSE)</f>
        <v>0</v>
      </c>
      <c r="Y5" s="2">
        <f>VLOOKUP(D5,'PGB (2)'!$A$3:$O$50,14,FALSE)</f>
        <v>34665</v>
      </c>
      <c r="Z5" s="2">
        <v>3357</v>
      </c>
      <c r="AA5" s="2">
        <f t="shared" si="3"/>
        <v>31308</v>
      </c>
      <c r="AB5" s="2">
        <f t="shared" si="4"/>
        <v>31308</v>
      </c>
    </row>
    <row r="6" spans="1:28" ht="15" x14ac:dyDescent="0.25">
      <c r="A6">
        <v>2015</v>
      </c>
      <c r="B6" t="s">
        <v>48</v>
      </c>
      <c r="C6" s="2" t="s">
        <v>1171</v>
      </c>
      <c r="D6" s="2" t="s">
        <v>1218</v>
      </c>
      <c r="E6" s="2" t="s">
        <v>1148</v>
      </c>
      <c r="F6" s="2" t="s">
        <v>1288</v>
      </c>
      <c r="G6" s="2" t="s">
        <v>1278</v>
      </c>
      <c r="H6" s="2">
        <v>161.03</v>
      </c>
      <c r="I6" s="2">
        <v>15.39</v>
      </c>
      <c r="J6" s="3">
        <v>64393.3</v>
      </c>
      <c r="K6" s="3" t="s">
        <v>1244</v>
      </c>
      <c r="L6" s="3">
        <v>10340.449999999997</v>
      </c>
      <c r="M6" s="3">
        <f t="shared" si="0"/>
        <v>74733.75</v>
      </c>
      <c r="N6" s="2">
        <v>157.28</v>
      </c>
      <c r="O6" s="3">
        <v>57407.199999999997</v>
      </c>
      <c r="P6" s="2" t="s">
        <v>1244</v>
      </c>
      <c r="Q6" s="3">
        <v>7719.7500000000073</v>
      </c>
      <c r="R6" s="41">
        <f t="shared" si="2"/>
        <v>148.45673076923092</v>
      </c>
      <c r="S6" s="3">
        <v>57407.199999999997</v>
      </c>
      <c r="T6" s="2" t="s">
        <v>1244</v>
      </c>
      <c r="U6" s="3">
        <f t="shared" si="5"/>
        <v>65126.950000000004</v>
      </c>
      <c r="V6" s="3">
        <f t="shared" si="1"/>
        <v>65126.950000000004</v>
      </c>
      <c r="W6" s="2">
        <f>VLOOKUP(D6,'PGB (2)'!$A$3:$O$50,13,FALSE)</f>
        <v>47033</v>
      </c>
      <c r="X6" s="2">
        <f>VLOOKUP(D6,'PGB (2)'!$A$3:$O$50,15,FALSE)</f>
        <v>0</v>
      </c>
      <c r="Y6" s="2">
        <f>VLOOKUP(D6,'PGB (2)'!$A$3:$O$50,14,FALSE)</f>
        <v>47033</v>
      </c>
      <c r="Z6" s="2">
        <v>3357</v>
      </c>
      <c r="AA6" s="2">
        <f t="shared" si="3"/>
        <v>43676</v>
      </c>
      <c r="AB6" s="2">
        <f t="shared" si="4"/>
        <v>43676</v>
      </c>
    </row>
    <row r="7" spans="1:28" ht="15" x14ac:dyDescent="0.25">
      <c r="A7">
        <v>2015</v>
      </c>
      <c r="B7" t="s">
        <v>48</v>
      </c>
      <c r="C7" s="2" t="s">
        <v>1172</v>
      </c>
      <c r="D7" s="2" t="s">
        <v>1219</v>
      </c>
      <c r="E7" s="2" t="s">
        <v>1148</v>
      </c>
      <c r="F7" s="2" t="s">
        <v>1288</v>
      </c>
      <c r="G7" s="2" t="s">
        <v>1278</v>
      </c>
      <c r="H7" s="2">
        <v>161.33000000000001</v>
      </c>
      <c r="I7" s="2">
        <v>15.35</v>
      </c>
      <c r="J7" s="3">
        <v>64488.200000000004</v>
      </c>
      <c r="K7" s="3" t="s">
        <v>1244</v>
      </c>
      <c r="L7" s="3">
        <v>10475.500000000007</v>
      </c>
      <c r="M7" s="3">
        <f t="shared" si="0"/>
        <v>74963.700000000012</v>
      </c>
      <c r="N7" s="2">
        <v>157.26</v>
      </c>
      <c r="O7" s="3">
        <v>57399.899999999994</v>
      </c>
      <c r="P7" s="2" t="s">
        <v>1244</v>
      </c>
      <c r="Q7" s="3">
        <v>7716.1000000000058</v>
      </c>
      <c r="R7" s="41">
        <f t="shared" si="2"/>
        <v>148.38653846153858</v>
      </c>
      <c r="S7" s="3">
        <v>57399.899999999994</v>
      </c>
      <c r="T7" s="2" t="s">
        <v>1244</v>
      </c>
      <c r="U7" s="3">
        <f t="shared" si="5"/>
        <v>65116</v>
      </c>
      <c r="V7" s="3">
        <f t="shared" si="1"/>
        <v>65116</v>
      </c>
      <c r="W7" s="2">
        <f>VLOOKUP(D7,'PGB (2)'!$A$3:$O$50,13,FALSE)</f>
        <v>47033</v>
      </c>
      <c r="X7" s="2">
        <f>VLOOKUP(D7,'PGB (2)'!$A$3:$O$50,15,FALSE)</f>
        <v>0</v>
      </c>
      <c r="Y7" s="2">
        <f>VLOOKUP(D7,'PGB (2)'!$A$3:$O$50,14,FALSE)</f>
        <v>47033</v>
      </c>
      <c r="Z7" s="2">
        <v>3357</v>
      </c>
      <c r="AA7" s="2">
        <f t="shared" si="3"/>
        <v>43676</v>
      </c>
      <c r="AB7" s="2">
        <f t="shared" si="4"/>
        <v>43676</v>
      </c>
    </row>
    <row r="8" spans="1:28" ht="15" x14ac:dyDescent="0.25">
      <c r="A8">
        <v>2015</v>
      </c>
      <c r="B8" t="s">
        <v>48</v>
      </c>
      <c r="C8" s="2" t="s">
        <v>1173</v>
      </c>
      <c r="D8" s="2" t="s">
        <v>1220</v>
      </c>
      <c r="E8" s="2" t="s">
        <v>1303</v>
      </c>
      <c r="F8" s="2" t="s">
        <v>1288</v>
      </c>
      <c r="G8" s="2" t="s">
        <v>1278</v>
      </c>
      <c r="H8" s="2">
        <v>189.53</v>
      </c>
      <c r="I8" s="2">
        <v>15.82</v>
      </c>
      <c r="J8" s="3">
        <v>74952.75</v>
      </c>
      <c r="K8" s="3" t="s">
        <v>1244</v>
      </c>
      <c r="L8" s="3">
        <v>13344.399999999994</v>
      </c>
      <c r="M8" s="3">
        <f t="shared" si="0"/>
        <v>88297.15</v>
      </c>
      <c r="N8" s="2">
        <v>184.63</v>
      </c>
      <c r="O8" s="3">
        <v>67389.95</v>
      </c>
      <c r="P8" s="2" t="s">
        <v>1244</v>
      </c>
      <c r="Q8" s="3">
        <v>10449.949999999997</v>
      </c>
      <c r="R8" s="41">
        <f t="shared" si="2"/>
        <v>200.96057692307687</v>
      </c>
      <c r="S8" s="3">
        <v>67389.95</v>
      </c>
      <c r="T8" s="2" t="s">
        <v>1244</v>
      </c>
      <c r="U8" s="3">
        <f t="shared" si="5"/>
        <v>77839.899999999994</v>
      </c>
      <c r="V8" s="3">
        <f t="shared" si="1"/>
        <v>77839.899999999994</v>
      </c>
      <c r="W8" s="2">
        <f>VLOOKUP(D8,'PGB (2)'!$A$3:$O$50,13,FALSE)</f>
        <v>58915</v>
      </c>
      <c r="X8" s="2">
        <f>VLOOKUP(D8,'PGB (2)'!$A$3:$O$50,15,FALSE)</f>
        <v>0</v>
      </c>
      <c r="Y8" s="2">
        <f>VLOOKUP(D8,'PGB (2)'!$A$3:$O$50,14,FALSE)</f>
        <v>58915</v>
      </c>
      <c r="Z8" s="2">
        <v>3357</v>
      </c>
      <c r="AA8" s="2">
        <f t="shared" si="3"/>
        <v>55558</v>
      </c>
      <c r="AB8" s="2">
        <f t="shared" si="4"/>
        <v>55558</v>
      </c>
    </row>
    <row r="9" spans="1:28" ht="15" x14ac:dyDescent="0.25">
      <c r="A9">
        <v>2015</v>
      </c>
      <c r="B9" t="s">
        <v>48</v>
      </c>
      <c r="C9" s="2" t="s">
        <v>1174</v>
      </c>
      <c r="D9" s="2" t="s">
        <v>1221</v>
      </c>
      <c r="E9" s="2" t="s">
        <v>1303</v>
      </c>
      <c r="F9" s="2" t="s">
        <v>1288</v>
      </c>
      <c r="G9" s="2" t="s">
        <v>1278</v>
      </c>
      <c r="H9" s="2">
        <v>221.17</v>
      </c>
      <c r="I9" s="2">
        <v>16.5</v>
      </c>
      <c r="J9" s="3">
        <v>86749.549999999988</v>
      </c>
      <c r="K9" s="3" t="s">
        <v>1244</v>
      </c>
      <c r="L9" s="3">
        <v>13446.600000000006</v>
      </c>
      <c r="M9" s="3">
        <f t="shared" si="0"/>
        <v>100196.15</v>
      </c>
      <c r="N9" s="2">
        <v>214.51</v>
      </c>
      <c r="O9" s="3">
        <v>78296.149999999994</v>
      </c>
      <c r="P9" s="2" t="s">
        <v>1244</v>
      </c>
      <c r="Q9" s="3">
        <v>10453.600000000006</v>
      </c>
      <c r="R9" s="41">
        <f t="shared" si="2"/>
        <v>201.03076923076935</v>
      </c>
      <c r="S9" s="3">
        <v>78296.149999999994</v>
      </c>
      <c r="T9" s="2" t="s">
        <v>1244</v>
      </c>
      <c r="U9" s="3">
        <f t="shared" si="5"/>
        <v>88749.75</v>
      </c>
      <c r="V9" s="3">
        <f t="shared" si="1"/>
        <v>88749.75</v>
      </c>
      <c r="W9" s="2">
        <f>VLOOKUP(D9,'PGB (2)'!$A$3:$O$50,13,FALSE)</f>
        <v>70314</v>
      </c>
      <c r="X9" s="2">
        <f>VLOOKUP(D9,'PGB (2)'!$A$3:$O$50,15,FALSE)</f>
        <v>0</v>
      </c>
      <c r="Y9" s="2">
        <f>VLOOKUP(D9,'PGB (2)'!$A$3:$O$50,14,FALSE)</f>
        <v>70314</v>
      </c>
      <c r="Z9" s="2">
        <v>3357</v>
      </c>
      <c r="AA9" s="2">
        <f t="shared" si="3"/>
        <v>66957</v>
      </c>
      <c r="AB9" s="2">
        <f t="shared" si="4"/>
        <v>66957</v>
      </c>
    </row>
    <row r="10" spans="1:28" ht="15" x14ac:dyDescent="0.25">
      <c r="A10">
        <v>2015</v>
      </c>
      <c r="B10" t="s">
        <v>48</v>
      </c>
      <c r="C10" s="2" t="s">
        <v>1175</v>
      </c>
      <c r="D10" s="2" t="s">
        <v>1222</v>
      </c>
      <c r="E10" s="2" t="s">
        <v>1148</v>
      </c>
      <c r="F10" s="2" t="s">
        <v>1288</v>
      </c>
      <c r="G10" s="2" t="s">
        <v>1278</v>
      </c>
      <c r="H10" s="2">
        <v>156.97</v>
      </c>
      <c r="I10" s="2">
        <v>15.25</v>
      </c>
      <c r="J10" s="3">
        <v>62860.3</v>
      </c>
      <c r="K10" s="3" t="s">
        <v>1244</v>
      </c>
      <c r="L10" s="3">
        <v>26513.599999999991</v>
      </c>
      <c r="M10" s="3">
        <f t="shared" si="0"/>
        <v>89373.9</v>
      </c>
      <c r="N10" s="2">
        <v>153.15</v>
      </c>
      <c r="O10" s="3">
        <v>55899.75</v>
      </c>
      <c r="P10" s="2" t="s">
        <v>1244</v>
      </c>
      <c r="Q10" s="3">
        <v>21407.25</v>
      </c>
      <c r="R10" s="41">
        <f t="shared" si="2"/>
        <v>411.67788461538464</v>
      </c>
      <c r="S10" s="3">
        <v>55899.75</v>
      </c>
      <c r="T10" s="2" t="s">
        <v>1244</v>
      </c>
      <c r="U10" s="3">
        <f t="shared" si="5"/>
        <v>77307</v>
      </c>
      <c r="V10" s="3">
        <f t="shared" si="1"/>
        <v>77307</v>
      </c>
      <c r="W10" s="2">
        <f>VLOOKUP(D10,'PGB (2)'!$A$3:$O$50,13,FALSE)</f>
        <v>45089</v>
      </c>
      <c r="X10" s="2">
        <f>VLOOKUP(D10,'PGB (2)'!$A$3:$O$50,15,FALSE)</f>
        <v>0</v>
      </c>
      <c r="Y10" s="2">
        <f>VLOOKUP(D10,'PGB (2)'!$A$3:$O$50,14,FALSE)</f>
        <v>45089</v>
      </c>
      <c r="Z10" s="2">
        <v>3357</v>
      </c>
      <c r="AA10" s="2">
        <f t="shared" si="3"/>
        <v>41732</v>
      </c>
      <c r="AB10" s="2">
        <f t="shared" si="4"/>
        <v>41732</v>
      </c>
    </row>
    <row r="11" spans="1:28" ht="15" x14ac:dyDescent="0.25">
      <c r="A11">
        <v>2015</v>
      </c>
      <c r="B11" t="s">
        <v>48</v>
      </c>
      <c r="C11" s="2" t="s">
        <v>1176</v>
      </c>
      <c r="D11" s="2" t="s">
        <v>1223</v>
      </c>
      <c r="E11" s="2" t="s">
        <v>1148</v>
      </c>
      <c r="F11" s="2" t="s">
        <v>1288</v>
      </c>
      <c r="G11" s="2" t="s">
        <v>1278</v>
      </c>
      <c r="H11" s="2">
        <v>242</v>
      </c>
      <c r="I11" s="2">
        <v>16.259999999999998</v>
      </c>
      <c r="J11" s="3">
        <v>94264.9</v>
      </c>
      <c r="K11" s="3" t="s">
        <v>1244</v>
      </c>
      <c r="L11" s="3">
        <v>13351.700000000012</v>
      </c>
      <c r="M11" s="3">
        <f t="shared" si="0"/>
        <v>107616.6</v>
      </c>
      <c r="N11" s="2">
        <v>234.3</v>
      </c>
      <c r="O11" s="3">
        <v>85519.5</v>
      </c>
      <c r="P11" s="2" t="s">
        <v>1244</v>
      </c>
      <c r="Q11" s="3">
        <v>10457.25</v>
      </c>
      <c r="R11" s="41">
        <f t="shared" si="2"/>
        <v>201.10096153846155</v>
      </c>
      <c r="S11" s="3">
        <v>85519.5</v>
      </c>
      <c r="T11" s="2" t="s">
        <v>1244</v>
      </c>
      <c r="U11" s="3">
        <f t="shared" si="5"/>
        <v>95976.75</v>
      </c>
      <c r="V11" s="3">
        <f t="shared" si="1"/>
        <v>95976.75</v>
      </c>
      <c r="W11" s="2">
        <f>VLOOKUP(D11,'PGB (2)'!$A$3:$O$50,13,FALSE)</f>
        <v>76597</v>
      </c>
      <c r="X11" s="2">
        <f>VLOOKUP(D11,'PGB (2)'!$A$3:$O$50,15,FALSE)</f>
        <v>0</v>
      </c>
      <c r="Y11" s="2">
        <f>VLOOKUP(D11,'PGB (2)'!$A$3:$O$50,14,FALSE)</f>
        <v>76597</v>
      </c>
      <c r="Z11" s="2">
        <v>3357</v>
      </c>
      <c r="AA11" s="2">
        <f t="shared" si="3"/>
        <v>73240</v>
      </c>
      <c r="AB11" s="2">
        <f t="shared" si="4"/>
        <v>73240</v>
      </c>
    </row>
    <row r="12" spans="1:28" ht="15" x14ac:dyDescent="0.25">
      <c r="A12">
        <v>2015</v>
      </c>
      <c r="B12" t="s">
        <v>48</v>
      </c>
      <c r="C12" s="2" t="s">
        <v>1177</v>
      </c>
      <c r="D12" s="2" t="s">
        <v>1224</v>
      </c>
      <c r="E12" s="2" t="s">
        <v>1148</v>
      </c>
      <c r="G12" s="2" t="s">
        <v>1148</v>
      </c>
      <c r="H12" s="2">
        <v>80.16</v>
      </c>
      <c r="I12" s="2">
        <v>9.66</v>
      </c>
      <c r="J12" s="3">
        <v>32784.299999999996</v>
      </c>
      <c r="K12" s="3">
        <v>10844.150000000001</v>
      </c>
      <c r="L12" s="3" t="s">
        <v>1244</v>
      </c>
      <c r="M12" s="3">
        <f t="shared" si="0"/>
        <v>43628.45</v>
      </c>
      <c r="N12" s="2" t="s">
        <v>1244</v>
      </c>
      <c r="O12" s="2" t="s">
        <v>1244</v>
      </c>
      <c r="P12" s="2" t="s">
        <v>1244</v>
      </c>
      <c r="Q12" s="2" t="s">
        <v>1244</v>
      </c>
      <c r="R12" s="41" t="e">
        <f t="shared" si="2"/>
        <v>#VALUE!</v>
      </c>
      <c r="S12" s="2" t="s">
        <v>1244</v>
      </c>
      <c r="T12" s="2" t="s">
        <v>1244</v>
      </c>
      <c r="U12" s="2" t="s">
        <v>1244</v>
      </c>
      <c r="V12" s="2" t="s">
        <v>1244</v>
      </c>
      <c r="W12" s="2" t="s">
        <v>1244</v>
      </c>
      <c r="X12" s="2" t="s">
        <v>1244</v>
      </c>
      <c r="Y12" s="2" t="s">
        <v>1244</v>
      </c>
      <c r="Z12" s="2" t="s">
        <v>1244</v>
      </c>
      <c r="AA12" s="2" t="s">
        <v>1244</v>
      </c>
      <c r="AB12" s="2" t="s">
        <v>1244</v>
      </c>
    </row>
    <row r="13" spans="1:28" ht="15" x14ac:dyDescent="0.25">
      <c r="A13">
        <v>2015</v>
      </c>
      <c r="B13" t="s">
        <v>48</v>
      </c>
      <c r="C13" s="2" t="s">
        <v>1178</v>
      </c>
      <c r="D13" s="2" t="s">
        <v>1225</v>
      </c>
      <c r="E13" s="2" t="s">
        <v>1148</v>
      </c>
      <c r="G13" s="2" t="s">
        <v>1148</v>
      </c>
      <c r="H13" s="2">
        <v>118.23</v>
      </c>
      <c r="I13" s="2">
        <v>9.66</v>
      </c>
      <c r="J13" s="3">
        <v>46679.85</v>
      </c>
      <c r="K13" s="3">
        <v>10048.449999999997</v>
      </c>
      <c r="L13" s="3" t="s">
        <v>1244</v>
      </c>
      <c r="M13" s="3">
        <f t="shared" si="0"/>
        <v>56728.299999999996</v>
      </c>
      <c r="N13" s="2" t="s">
        <v>1244</v>
      </c>
      <c r="O13" s="2" t="s">
        <v>1244</v>
      </c>
      <c r="P13" s="2" t="s">
        <v>1244</v>
      </c>
      <c r="Q13" s="2" t="s">
        <v>1244</v>
      </c>
      <c r="R13" s="41" t="e">
        <f t="shared" si="2"/>
        <v>#VALUE!</v>
      </c>
      <c r="S13" s="2" t="s">
        <v>1244</v>
      </c>
      <c r="T13" s="2" t="s">
        <v>1244</v>
      </c>
      <c r="U13" s="2" t="s">
        <v>1244</v>
      </c>
      <c r="V13" s="2" t="s">
        <v>1244</v>
      </c>
      <c r="W13" s="2" t="s">
        <v>1244</v>
      </c>
      <c r="X13" s="2" t="s">
        <v>1244</v>
      </c>
      <c r="Y13" s="2" t="s">
        <v>1244</v>
      </c>
      <c r="Z13" s="2" t="s">
        <v>1244</v>
      </c>
      <c r="AA13" s="2" t="s">
        <v>1244</v>
      </c>
      <c r="AB13" s="2" t="s">
        <v>1244</v>
      </c>
    </row>
    <row r="14" spans="1:28" ht="15" x14ac:dyDescent="0.25">
      <c r="A14">
        <v>2015</v>
      </c>
      <c r="B14" t="s">
        <v>48</v>
      </c>
      <c r="C14" s="2" t="s">
        <v>1179</v>
      </c>
      <c r="D14" s="2" t="s">
        <v>1226</v>
      </c>
      <c r="E14" s="2" t="s">
        <v>1148</v>
      </c>
      <c r="G14" s="2" t="s">
        <v>1148</v>
      </c>
      <c r="H14" s="2">
        <v>128.72</v>
      </c>
      <c r="I14" s="2">
        <v>14.03</v>
      </c>
      <c r="J14" s="3">
        <v>52103.75</v>
      </c>
      <c r="K14" s="3">
        <v>11041.25</v>
      </c>
      <c r="L14" s="3" t="s">
        <v>1244</v>
      </c>
      <c r="M14" s="3">
        <f t="shared" si="0"/>
        <v>63145</v>
      </c>
      <c r="N14" s="2" t="s">
        <v>1244</v>
      </c>
      <c r="O14" s="2" t="s">
        <v>1244</v>
      </c>
      <c r="P14" s="2" t="s">
        <v>1244</v>
      </c>
      <c r="Q14" s="2" t="s">
        <v>1244</v>
      </c>
      <c r="R14" s="41" t="e">
        <f t="shared" si="2"/>
        <v>#VALUE!</v>
      </c>
      <c r="S14" s="2" t="s">
        <v>1244</v>
      </c>
      <c r="T14" s="2" t="s">
        <v>1244</v>
      </c>
      <c r="U14" s="2" t="s">
        <v>1244</v>
      </c>
      <c r="V14" s="2" t="s">
        <v>1244</v>
      </c>
      <c r="W14" s="2" t="s">
        <v>1244</v>
      </c>
      <c r="X14" s="2" t="s">
        <v>1244</v>
      </c>
      <c r="Y14" s="2" t="s">
        <v>1244</v>
      </c>
      <c r="Z14" s="2" t="s">
        <v>1244</v>
      </c>
      <c r="AA14" s="2" t="s">
        <v>1244</v>
      </c>
      <c r="AB14" s="2" t="s">
        <v>1244</v>
      </c>
    </row>
    <row r="15" spans="1:28" ht="15" x14ac:dyDescent="0.25">
      <c r="A15">
        <v>2015</v>
      </c>
      <c r="B15" t="s">
        <v>48</v>
      </c>
      <c r="C15" s="2" t="s">
        <v>1180</v>
      </c>
      <c r="D15" s="2" t="s">
        <v>1227</v>
      </c>
      <c r="E15" s="2" t="s">
        <v>1148</v>
      </c>
      <c r="G15" s="2" t="s">
        <v>1148</v>
      </c>
      <c r="H15" s="2">
        <v>148.41</v>
      </c>
      <c r="I15" s="2">
        <v>14.03</v>
      </c>
      <c r="J15" s="3">
        <v>59290.6</v>
      </c>
      <c r="K15" s="3">
        <v>11534.000000000007</v>
      </c>
      <c r="L15" s="3" t="s">
        <v>1244</v>
      </c>
      <c r="M15" s="3">
        <f t="shared" si="0"/>
        <v>70824.600000000006</v>
      </c>
      <c r="N15" s="2" t="s">
        <v>1244</v>
      </c>
      <c r="O15" s="2" t="s">
        <v>1244</v>
      </c>
      <c r="P15" s="2" t="s">
        <v>1244</v>
      </c>
      <c r="Q15" s="2" t="s">
        <v>1244</v>
      </c>
      <c r="R15" s="41" t="e">
        <f t="shared" si="2"/>
        <v>#VALUE!</v>
      </c>
      <c r="S15" s="2" t="s">
        <v>1244</v>
      </c>
      <c r="T15" s="2" t="s">
        <v>1244</v>
      </c>
      <c r="U15" s="2" t="s">
        <v>1244</v>
      </c>
      <c r="V15" s="2" t="s">
        <v>1244</v>
      </c>
      <c r="W15" s="2" t="s">
        <v>1244</v>
      </c>
      <c r="X15" s="2" t="s">
        <v>1244</v>
      </c>
      <c r="Y15" s="2" t="s">
        <v>1244</v>
      </c>
      <c r="Z15" s="2" t="s">
        <v>1244</v>
      </c>
      <c r="AA15" s="2" t="s">
        <v>1244</v>
      </c>
      <c r="AB15" s="2" t="s">
        <v>1244</v>
      </c>
    </row>
    <row r="16" spans="1:28" ht="15" x14ac:dyDescent="0.25">
      <c r="A16">
        <v>2015</v>
      </c>
      <c r="B16" t="s">
        <v>48</v>
      </c>
      <c r="C16" s="2" t="s">
        <v>1181</v>
      </c>
      <c r="D16" s="2" t="s">
        <v>1228</v>
      </c>
      <c r="E16" s="2" t="s">
        <v>1148</v>
      </c>
      <c r="G16" s="2" t="s">
        <v>1148</v>
      </c>
      <c r="H16" s="2">
        <v>160.44</v>
      </c>
      <c r="I16" s="2">
        <v>18.149999999999999</v>
      </c>
      <c r="J16" s="3">
        <v>65185.35</v>
      </c>
      <c r="K16" s="3">
        <v>11902.650000000001</v>
      </c>
      <c r="L16" s="3" t="s">
        <v>1244</v>
      </c>
      <c r="M16" s="3">
        <f t="shared" si="0"/>
        <v>77088</v>
      </c>
      <c r="N16" s="2" t="s">
        <v>1244</v>
      </c>
      <c r="O16" s="2" t="s">
        <v>1244</v>
      </c>
      <c r="P16" s="2" t="s">
        <v>1244</v>
      </c>
      <c r="Q16" s="2" t="s">
        <v>1244</v>
      </c>
      <c r="R16" s="41" t="e">
        <f t="shared" si="2"/>
        <v>#VALUE!</v>
      </c>
      <c r="S16" s="2" t="s">
        <v>1244</v>
      </c>
      <c r="T16" s="2" t="s">
        <v>1244</v>
      </c>
      <c r="U16" s="2" t="s">
        <v>1244</v>
      </c>
      <c r="V16" s="2" t="s">
        <v>1244</v>
      </c>
      <c r="W16" s="2" t="s">
        <v>1244</v>
      </c>
      <c r="X16" s="2" t="s">
        <v>1244</v>
      </c>
      <c r="Y16" s="2" t="s">
        <v>1244</v>
      </c>
      <c r="Z16" s="2" t="s">
        <v>1244</v>
      </c>
      <c r="AA16" s="2" t="s">
        <v>1244</v>
      </c>
      <c r="AB16" s="2" t="s">
        <v>1244</v>
      </c>
    </row>
    <row r="17" spans="1:28" ht="15" x14ac:dyDescent="0.25">
      <c r="A17">
        <v>2015</v>
      </c>
      <c r="B17" t="s">
        <v>48</v>
      </c>
      <c r="C17" s="2" t="s">
        <v>1182</v>
      </c>
      <c r="D17" s="2" t="s">
        <v>1229</v>
      </c>
      <c r="E17" s="2" t="s">
        <v>1303</v>
      </c>
      <c r="G17" s="2" t="s">
        <v>1148</v>
      </c>
      <c r="H17" s="2">
        <v>217.79</v>
      </c>
      <c r="I17" s="2">
        <v>16.71</v>
      </c>
      <c r="J17" s="3">
        <v>85592.5</v>
      </c>
      <c r="K17" s="3">
        <v>11804.099999999991</v>
      </c>
      <c r="L17" s="3" t="s">
        <v>1244</v>
      </c>
      <c r="M17" s="3">
        <f t="shared" si="0"/>
        <v>97396.599999999991</v>
      </c>
      <c r="N17" s="2" t="s">
        <v>1244</v>
      </c>
      <c r="O17" s="2" t="s">
        <v>1244</v>
      </c>
      <c r="P17" s="2" t="s">
        <v>1244</v>
      </c>
      <c r="Q17" s="2" t="s">
        <v>1244</v>
      </c>
      <c r="R17" s="41" t="e">
        <f t="shared" si="2"/>
        <v>#VALUE!</v>
      </c>
      <c r="S17" s="2" t="s">
        <v>1244</v>
      </c>
      <c r="T17" s="2" t="s">
        <v>1244</v>
      </c>
      <c r="U17" s="2" t="s">
        <v>1244</v>
      </c>
      <c r="V17" s="2" t="s">
        <v>1244</v>
      </c>
      <c r="W17" s="2" t="s">
        <v>1244</v>
      </c>
      <c r="X17" s="2" t="s">
        <v>1244</v>
      </c>
      <c r="Y17" s="2" t="s">
        <v>1244</v>
      </c>
      <c r="Z17" s="2" t="s">
        <v>1244</v>
      </c>
      <c r="AA17" s="2" t="s">
        <v>1244</v>
      </c>
      <c r="AB17" s="2" t="s">
        <v>1244</v>
      </c>
    </row>
    <row r="18" spans="1:28" ht="15" x14ac:dyDescent="0.25">
      <c r="A18">
        <v>2015</v>
      </c>
      <c r="B18" t="s">
        <v>48</v>
      </c>
      <c r="C18" s="2" t="s">
        <v>1183</v>
      </c>
      <c r="D18" s="2" t="s">
        <v>1183</v>
      </c>
      <c r="E18" s="2" t="s">
        <v>1303</v>
      </c>
      <c r="G18" s="2" t="s">
        <v>1148</v>
      </c>
      <c r="H18" s="2">
        <v>290.49</v>
      </c>
      <c r="I18" s="2">
        <v>18.729999999999997</v>
      </c>
      <c r="J18" s="3">
        <v>112865.3</v>
      </c>
      <c r="K18" s="3">
        <v>18567.549999999974</v>
      </c>
      <c r="L18" s="3" t="s">
        <v>1244</v>
      </c>
      <c r="M18" s="3">
        <f t="shared" si="0"/>
        <v>131432.84999999998</v>
      </c>
      <c r="N18" s="2" t="s">
        <v>1244</v>
      </c>
      <c r="O18" s="2" t="s">
        <v>1244</v>
      </c>
      <c r="P18" s="2" t="s">
        <v>1244</v>
      </c>
      <c r="Q18" s="2" t="s">
        <v>1244</v>
      </c>
      <c r="R18" s="41" t="e">
        <f t="shared" si="2"/>
        <v>#VALUE!</v>
      </c>
      <c r="S18" s="2" t="s">
        <v>1244</v>
      </c>
      <c r="T18" s="2" t="s">
        <v>1244</v>
      </c>
      <c r="U18" s="2" t="s">
        <v>1244</v>
      </c>
      <c r="V18" s="2" t="s">
        <v>1244</v>
      </c>
      <c r="W18" s="2" t="s">
        <v>1244</v>
      </c>
      <c r="X18" s="2" t="s">
        <v>1244</v>
      </c>
      <c r="Y18" s="2" t="s">
        <v>1244</v>
      </c>
      <c r="Z18" s="2" t="s">
        <v>1244</v>
      </c>
      <c r="AA18" s="2" t="s">
        <v>1244</v>
      </c>
      <c r="AB18" s="2" t="s">
        <v>1244</v>
      </c>
    </row>
    <row r="19" spans="1:28" ht="15" x14ac:dyDescent="0.25">
      <c r="A19">
        <v>2015</v>
      </c>
      <c r="B19" t="s">
        <v>48</v>
      </c>
      <c r="C19" s="2" t="s">
        <v>1184</v>
      </c>
      <c r="D19" s="2" t="s">
        <v>1230</v>
      </c>
      <c r="E19" s="2" t="s">
        <v>1148</v>
      </c>
      <c r="F19" s="2" t="s">
        <v>1287</v>
      </c>
      <c r="G19" s="2" t="s">
        <v>1148</v>
      </c>
      <c r="H19" s="2">
        <v>66.45</v>
      </c>
      <c r="I19" s="2">
        <v>12.120000000000001</v>
      </c>
      <c r="J19" s="3">
        <v>28678.050000000003</v>
      </c>
      <c r="K19" s="3">
        <v>14402.899999999994</v>
      </c>
      <c r="L19" s="3" t="s">
        <v>1244</v>
      </c>
      <c r="M19" s="3">
        <f t="shared" si="0"/>
        <v>43080.95</v>
      </c>
      <c r="N19" s="2">
        <v>64.38</v>
      </c>
      <c r="O19" s="3">
        <v>23498.699999999997</v>
      </c>
      <c r="P19" s="3">
        <v>13121.75</v>
      </c>
      <c r="Q19" s="2" t="s">
        <v>1244</v>
      </c>
      <c r="R19" s="41" t="e">
        <f t="shared" si="2"/>
        <v>#VALUE!</v>
      </c>
      <c r="S19" s="3">
        <v>23498.699999999997</v>
      </c>
      <c r="T19" s="3">
        <f t="shared" ref="T19:T26" si="6">SUM(O19,P19)</f>
        <v>36620.449999999997</v>
      </c>
      <c r="U19" s="3">
        <f t="shared" ref="U19:U26" si="7">SUM(O19,Q19)</f>
        <v>23498.699999999997</v>
      </c>
      <c r="V19" s="3">
        <f t="shared" ref="V19:V48" si="8">SUM(O19:Q19)</f>
        <v>36620.449999999997</v>
      </c>
      <c r="W19" s="2">
        <f>VLOOKUP(D19,'PGB (2)'!$A$3:$O$50,13,FALSE)</f>
        <v>18755</v>
      </c>
      <c r="X19" s="2">
        <f>VLOOKUP(D19,'PGB (2)'!$A$3:$O$50,15,FALSE)</f>
        <v>13721</v>
      </c>
      <c r="Y19" s="2">
        <f>VLOOKUP(D19,'PGB (2)'!$A$3:$O$50,14,FALSE)</f>
        <v>32476</v>
      </c>
      <c r="Z19" s="2">
        <v>3357</v>
      </c>
      <c r="AA19" s="2">
        <f>W19-Z19</f>
        <v>15398</v>
      </c>
      <c r="AB19" s="2">
        <f>Y19-Z19</f>
        <v>29119</v>
      </c>
    </row>
    <row r="20" spans="1:28" ht="15" x14ac:dyDescent="0.25">
      <c r="A20">
        <v>2015</v>
      </c>
      <c r="B20" t="s">
        <v>48</v>
      </c>
      <c r="C20" s="2" t="s">
        <v>1185</v>
      </c>
      <c r="D20" s="2" t="s">
        <v>1231</v>
      </c>
      <c r="E20" s="2" t="s">
        <v>1148</v>
      </c>
      <c r="F20" s="2" t="s">
        <v>1287</v>
      </c>
      <c r="G20" s="2" t="s">
        <v>1148</v>
      </c>
      <c r="H20" s="2">
        <v>83.58</v>
      </c>
      <c r="I20" s="2">
        <v>12.120000000000001</v>
      </c>
      <c r="J20" s="3">
        <v>34930.5</v>
      </c>
      <c r="K20" s="3">
        <v>14406.549999999996</v>
      </c>
      <c r="L20" s="3" t="s">
        <v>1244</v>
      </c>
      <c r="M20" s="3">
        <f t="shared" si="0"/>
        <v>49337.049999999996</v>
      </c>
      <c r="N20" s="2">
        <v>80.69</v>
      </c>
      <c r="O20" s="3">
        <v>29451.85</v>
      </c>
      <c r="P20" s="3">
        <v>13118.099999999999</v>
      </c>
      <c r="Q20" s="2" t="s">
        <v>1244</v>
      </c>
      <c r="R20" s="41" t="e">
        <f t="shared" si="2"/>
        <v>#VALUE!</v>
      </c>
      <c r="S20" s="3">
        <v>29451.85</v>
      </c>
      <c r="T20" s="3">
        <f t="shared" si="6"/>
        <v>42569.95</v>
      </c>
      <c r="U20" s="3">
        <f t="shared" si="7"/>
        <v>29451.85</v>
      </c>
      <c r="V20" s="3">
        <f t="shared" si="8"/>
        <v>42569.95</v>
      </c>
      <c r="W20" s="2">
        <f>VLOOKUP(D20,'PGB (2)'!$A$3:$O$50,13,FALSE)</f>
        <v>24714</v>
      </c>
      <c r="X20" s="2">
        <f>VLOOKUP(D20,'PGB (2)'!$A$3:$O$50,15,FALSE)</f>
        <v>13721</v>
      </c>
      <c r="Y20" s="2">
        <f>VLOOKUP(D20,'PGB (2)'!$A$3:$O$50,14,FALSE)</f>
        <v>38435</v>
      </c>
      <c r="Z20" s="2">
        <v>3357</v>
      </c>
      <c r="AA20" s="2">
        <f t="shared" ref="AA20:AA48" si="9">W20-Z20</f>
        <v>21357</v>
      </c>
      <c r="AB20" s="2">
        <f t="shared" ref="AB20:AB48" si="10">Y20-Z20</f>
        <v>35078</v>
      </c>
    </row>
    <row r="21" spans="1:28" ht="15" x14ac:dyDescent="0.25">
      <c r="A21">
        <v>2015</v>
      </c>
      <c r="B21" t="s">
        <v>48</v>
      </c>
      <c r="C21" s="2" t="s">
        <v>1186</v>
      </c>
      <c r="D21" s="2" t="s">
        <v>1232</v>
      </c>
      <c r="E21" s="2" t="s">
        <v>1148</v>
      </c>
      <c r="F21" s="2" t="s">
        <v>1288</v>
      </c>
      <c r="G21" s="2" t="s">
        <v>1278</v>
      </c>
      <c r="H21" s="2">
        <v>98.09</v>
      </c>
      <c r="I21" s="2">
        <v>12.120000000000001</v>
      </c>
      <c r="J21" s="3">
        <v>40226.65</v>
      </c>
      <c r="K21" s="3">
        <v>14402.899999999994</v>
      </c>
      <c r="L21" s="3">
        <v>6015.1999999999971</v>
      </c>
      <c r="M21" s="3">
        <f t="shared" si="0"/>
        <v>60644.749999999993</v>
      </c>
      <c r="N21" s="2">
        <v>94.49</v>
      </c>
      <c r="O21" s="3">
        <v>34488.85</v>
      </c>
      <c r="P21" s="3">
        <v>13125.399999999994</v>
      </c>
      <c r="Q21" s="3">
        <v>3248.5</v>
      </c>
      <c r="R21" s="41">
        <f t="shared" si="2"/>
        <v>62.471153846153847</v>
      </c>
      <c r="S21" s="3">
        <v>34488.85</v>
      </c>
      <c r="T21" s="3">
        <f t="shared" si="6"/>
        <v>47614.249999999993</v>
      </c>
      <c r="U21" s="3">
        <f t="shared" si="7"/>
        <v>37737.35</v>
      </c>
      <c r="V21" s="3">
        <f t="shared" si="8"/>
        <v>50862.749999999993</v>
      </c>
      <c r="W21" s="2">
        <f>VLOOKUP(D21,'PGB (2)'!$A$3:$O$50,13,FALSE)</f>
        <v>27642</v>
      </c>
      <c r="X21" s="2">
        <f>VLOOKUP(D21,'PGB (2)'!$A$3:$O$50,15,FALSE)</f>
        <v>16170</v>
      </c>
      <c r="Y21" s="2">
        <f>VLOOKUP(D21,'PGB (2)'!$A$3:$O$50,14,FALSE)</f>
        <v>43812</v>
      </c>
      <c r="Z21" s="2">
        <v>3357</v>
      </c>
      <c r="AA21" s="2">
        <f t="shared" si="9"/>
        <v>24285</v>
      </c>
      <c r="AB21" s="2">
        <f t="shared" si="10"/>
        <v>40455</v>
      </c>
    </row>
    <row r="22" spans="1:28" ht="15" x14ac:dyDescent="0.25">
      <c r="A22">
        <v>2015</v>
      </c>
      <c r="B22" t="s">
        <v>48</v>
      </c>
      <c r="C22" s="2" t="s">
        <v>1187</v>
      </c>
      <c r="D22" s="2" t="s">
        <v>1233</v>
      </c>
      <c r="E22" s="2" t="s">
        <v>1148</v>
      </c>
      <c r="F22" s="2" t="s">
        <v>1288</v>
      </c>
      <c r="G22" s="2" t="s">
        <v>1278</v>
      </c>
      <c r="H22" s="2">
        <v>111.4</v>
      </c>
      <c r="I22" s="2">
        <v>12.120000000000001</v>
      </c>
      <c r="J22" s="3">
        <v>45084.800000000003</v>
      </c>
      <c r="K22" s="3">
        <v>14413.849999999991</v>
      </c>
      <c r="L22" s="3">
        <v>6639.3499999999913</v>
      </c>
      <c r="M22" s="3">
        <f t="shared" si="0"/>
        <v>66137.999999999985</v>
      </c>
      <c r="N22" s="2">
        <v>107.2</v>
      </c>
      <c r="O22" s="3">
        <v>39128</v>
      </c>
      <c r="P22" s="3">
        <v>13114.449999999997</v>
      </c>
      <c r="Q22" s="3">
        <v>3832.5</v>
      </c>
      <c r="R22" s="41">
        <f t="shared" si="2"/>
        <v>73.70192307692308</v>
      </c>
      <c r="S22" s="3">
        <v>39128</v>
      </c>
      <c r="T22" s="3">
        <f t="shared" si="6"/>
        <v>52242.45</v>
      </c>
      <c r="U22" s="3">
        <f t="shared" si="7"/>
        <v>42960.5</v>
      </c>
      <c r="V22" s="3">
        <f t="shared" si="8"/>
        <v>56074.95</v>
      </c>
      <c r="W22" s="2">
        <f>VLOOKUP(D22,'PGB (2)'!$A$3:$O$50,13,FALSE)</f>
        <v>31917</v>
      </c>
      <c r="X22" s="2">
        <f>VLOOKUP(D22,'PGB (2)'!$A$3:$O$50,15,FALSE)</f>
        <v>16170</v>
      </c>
      <c r="Y22" s="2">
        <f>VLOOKUP(D22,'PGB (2)'!$A$3:$O$50,14,FALSE)</f>
        <v>48087</v>
      </c>
      <c r="Z22" s="2">
        <v>3357</v>
      </c>
      <c r="AA22" s="2">
        <f t="shared" si="9"/>
        <v>28560</v>
      </c>
      <c r="AB22" s="2">
        <f t="shared" si="10"/>
        <v>44730</v>
      </c>
    </row>
    <row r="23" spans="1:28" ht="15" x14ac:dyDescent="0.25">
      <c r="A23">
        <v>2015</v>
      </c>
      <c r="B23" t="s">
        <v>48</v>
      </c>
      <c r="C23" s="2" t="s">
        <v>1188</v>
      </c>
      <c r="D23" s="2" t="s">
        <v>1234</v>
      </c>
      <c r="E23" s="2" t="s">
        <v>1278</v>
      </c>
      <c r="F23" s="2" t="s">
        <v>1288</v>
      </c>
      <c r="G23" s="2" t="s">
        <v>1278</v>
      </c>
      <c r="H23" s="2">
        <v>134.44</v>
      </c>
      <c r="I23" s="2">
        <v>13.030000000000001</v>
      </c>
      <c r="J23" s="3">
        <v>53826.55</v>
      </c>
      <c r="K23" s="3">
        <v>19399.75</v>
      </c>
      <c r="L23" s="3">
        <v>9391.4499999999898</v>
      </c>
      <c r="M23" s="3">
        <f t="shared" si="0"/>
        <v>82617.75</v>
      </c>
      <c r="N23" s="2">
        <v>129.13999999999999</v>
      </c>
      <c r="O23" s="3">
        <v>47136.1</v>
      </c>
      <c r="P23" s="3">
        <v>17939.75</v>
      </c>
      <c r="Q23" s="3">
        <v>5551.6500000000015</v>
      </c>
      <c r="R23" s="41">
        <f t="shared" si="2"/>
        <v>106.76250000000003</v>
      </c>
      <c r="S23" s="3">
        <v>47136.1</v>
      </c>
      <c r="T23" s="3">
        <f t="shared" si="6"/>
        <v>65075.85</v>
      </c>
      <c r="U23" s="3">
        <f t="shared" si="7"/>
        <v>52687.75</v>
      </c>
      <c r="V23" s="3">
        <f t="shared" si="8"/>
        <v>70627.5</v>
      </c>
      <c r="W23" s="2">
        <f>VLOOKUP(D23,'PGB (2)'!$A$3:$O$50,13,FALSE)</f>
        <v>42701</v>
      </c>
      <c r="X23" s="2">
        <f>VLOOKUP(D23,'PGB (2)'!$A$3:$O$50,15,FALSE)</f>
        <v>18622</v>
      </c>
      <c r="Y23" s="2">
        <f>VLOOKUP(D23,'PGB (2)'!$A$3:$O$50,14,FALSE)</f>
        <v>61323</v>
      </c>
      <c r="Z23" s="2">
        <v>3357</v>
      </c>
      <c r="AA23" s="2">
        <f t="shared" si="9"/>
        <v>39344</v>
      </c>
      <c r="AB23" s="2">
        <f t="shared" si="10"/>
        <v>57966</v>
      </c>
    </row>
    <row r="24" spans="1:28" ht="15" x14ac:dyDescent="0.25">
      <c r="A24">
        <v>2015</v>
      </c>
      <c r="B24" t="s">
        <v>48</v>
      </c>
      <c r="C24" s="2" t="s">
        <v>1189</v>
      </c>
      <c r="D24" s="2" t="s">
        <v>1235</v>
      </c>
      <c r="E24" s="2" t="s">
        <v>1148</v>
      </c>
      <c r="F24" s="2" t="s">
        <v>1288</v>
      </c>
      <c r="G24" s="2" t="s">
        <v>1278</v>
      </c>
      <c r="H24" s="2">
        <v>127.45</v>
      </c>
      <c r="I24" s="2">
        <v>12.040000000000001</v>
      </c>
      <c r="J24" s="3">
        <v>50913.850000000006</v>
      </c>
      <c r="K24" s="3">
        <v>19381.499999999985</v>
      </c>
      <c r="L24" s="3">
        <v>9698.0499999999956</v>
      </c>
      <c r="M24" s="3">
        <f t="shared" si="0"/>
        <v>79993.399999999994</v>
      </c>
      <c r="N24" s="2">
        <v>122.45</v>
      </c>
      <c r="O24" s="3">
        <v>44694.25</v>
      </c>
      <c r="P24" s="3">
        <v>17947.050000000003</v>
      </c>
      <c r="Q24" s="3">
        <v>5869.1999999999971</v>
      </c>
      <c r="R24" s="41">
        <f t="shared" si="2"/>
        <v>112.86923076923071</v>
      </c>
      <c r="S24" s="3">
        <v>44694.25</v>
      </c>
      <c r="T24" s="3">
        <f t="shared" si="6"/>
        <v>62641.3</v>
      </c>
      <c r="U24" s="3">
        <f t="shared" si="7"/>
        <v>50563.45</v>
      </c>
      <c r="V24" s="3">
        <f t="shared" si="8"/>
        <v>68510.5</v>
      </c>
      <c r="W24" s="2">
        <f>VLOOKUP(D24,'PGB (2)'!$A$3:$O$50,13,FALSE)</f>
        <v>36596</v>
      </c>
      <c r="X24" s="2">
        <f>VLOOKUP(D24,'PGB (2)'!$A$3:$O$50,15,FALSE)</f>
        <v>21072</v>
      </c>
      <c r="Y24" s="2">
        <f>VLOOKUP(D24,'PGB (2)'!$A$3:$O$50,14,FALSE)</f>
        <v>57668</v>
      </c>
      <c r="Z24" s="2">
        <v>3357</v>
      </c>
      <c r="AA24" s="2">
        <f t="shared" si="9"/>
        <v>33239</v>
      </c>
      <c r="AB24" s="2">
        <f t="shared" si="10"/>
        <v>54311</v>
      </c>
    </row>
    <row r="25" spans="1:28" ht="15" x14ac:dyDescent="0.25">
      <c r="A25">
        <v>2015</v>
      </c>
      <c r="B25" t="s">
        <v>48</v>
      </c>
      <c r="C25" s="2" t="s">
        <v>1190</v>
      </c>
      <c r="D25" s="2" t="s">
        <v>1236</v>
      </c>
      <c r="E25" s="2" t="s">
        <v>1278</v>
      </c>
      <c r="F25" s="2" t="s">
        <v>1288</v>
      </c>
      <c r="G25" s="2" t="s">
        <v>1278</v>
      </c>
      <c r="H25" s="2">
        <v>165.45</v>
      </c>
      <c r="I25" s="2">
        <v>13.030000000000001</v>
      </c>
      <c r="J25" s="3">
        <v>65145.2</v>
      </c>
      <c r="K25" s="3">
        <v>31638.199999999997</v>
      </c>
      <c r="L25" s="3">
        <v>11577.800000000003</v>
      </c>
      <c r="M25" s="3">
        <f t="shared" si="0"/>
        <v>108361.2</v>
      </c>
      <c r="N25" s="2">
        <v>158.63999999999999</v>
      </c>
      <c r="O25" s="3">
        <v>57903.6</v>
      </c>
      <c r="P25" s="3">
        <v>30349.749999999993</v>
      </c>
      <c r="Q25" s="3">
        <v>7643.1000000000131</v>
      </c>
      <c r="R25" s="41">
        <f t="shared" si="2"/>
        <v>146.98269230769256</v>
      </c>
      <c r="S25" s="3">
        <v>57903.6</v>
      </c>
      <c r="T25" s="3">
        <f t="shared" si="6"/>
        <v>88253.349999999991</v>
      </c>
      <c r="U25" s="3">
        <f t="shared" si="7"/>
        <v>65546.700000000012</v>
      </c>
      <c r="V25" s="3">
        <f t="shared" si="8"/>
        <v>95896.450000000012</v>
      </c>
      <c r="W25" s="2">
        <f>VLOOKUP(D25,'PGB (2)'!$A$3:$O$50,13,FALSE)</f>
        <v>53031</v>
      </c>
      <c r="X25" s="2">
        <f>VLOOKUP(D25,'PGB (2)'!$A$3:$O$50,15,FALSE)</f>
        <v>23523</v>
      </c>
      <c r="Y25" s="2">
        <f>VLOOKUP(D25,'PGB (2)'!$A$3:$O$50,14,FALSE)</f>
        <v>76554</v>
      </c>
      <c r="Z25" s="2">
        <v>3357</v>
      </c>
      <c r="AA25" s="2">
        <f t="shared" si="9"/>
        <v>49674</v>
      </c>
      <c r="AB25" s="2">
        <f t="shared" si="10"/>
        <v>73197</v>
      </c>
    </row>
    <row r="26" spans="1:28" ht="15" x14ac:dyDescent="0.25">
      <c r="A26">
        <v>2015</v>
      </c>
      <c r="B26" t="s">
        <v>48</v>
      </c>
      <c r="C26" s="2" t="s">
        <v>1191</v>
      </c>
      <c r="D26" s="2" t="s">
        <v>1237</v>
      </c>
      <c r="E26" s="2" t="s">
        <v>1278</v>
      </c>
      <c r="F26" s="2" t="s">
        <v>1288</v>
      </c>
      <c r="G26" s="2" t="s">
        <v>1278</v>
      </c>
      <c r="H26" s="2">
        <v>160.71</v>
      </c>
      <c r="I26" s="2">
        <v>16.7</v>
      </c>
      <c r="J26" s="3">
        <v>64754.65</v>
      </c>
      <c r="K26" s="3">
        <v>19724.599999999999</v>
      </c>
      <c r="L26" s="3">
        <v>9384.1500000000015</v>
      </c>
      <c r="M26" s="3">
        <f t="shared" si="0"/>
        <v>93863.4</v>
      </c>
      <c r="N26" s="2">
        <v>154.12</v>
      </c>
      <c r="O26" s="3">
        <v>56253.8</v>
      </c>
      <c r="P26" s="3">
        <v>17950.699999999997</v>
      </c>
      <c r="Q26" s="3">
        <v>5562.5999999999985</v>
      </c>
      <c r="R26" s="41">
        <f t="shared" si="2"/>
        <v>106.97307692307689</v>
      </c>
      <c r="S26" s="3">
        <v>56253.8</v>
      </c>
      <c r="T26" s="3">
        <f t="shared" si="6"/>
        <v>74204.5</v>
      </c>
      <c r="U26" s="3">
        <f t="shared" si="7"/>
        <v>61816.4</v>
      </c>
      <c r="V26" s="3">
        <f t="shared" si="8"/>
        <v>79767.100000000006</v>
      </c>
      <c r="W26" s="2">
        <f>VLOOKUP(D26,'PGB (2)'!$A$3:$O$50,13,FALSE)</f>
        <v>48848</v>
      </c>
      <c r="X26" s="2">
        <f>VLOOKUP(D26,'PGB (2)'!$A$3:$O$50,15,FALSE)</f>
        <v>18622</v>
      </c>
      <c r="Y26" s="2">
        <f>VLOOKUP(D26,'PGB (2)'!$A$3:$O$50,14,FALSE)</f>
        <v>67470</v>
      </c>
      <c r="Z26" s="2">
        <v>3357</v>
      </c>
      <c r="AA26" s="2">
        <f t="shared" si="9"/>
        <v>45491</v>
      </c>
      <c r="AB26" s="2">
        <f t="shared" si="10"/>
        <v>64113</v>
      </c>
    </row>
    <row r="27" spans="1:28" ht="15" x14ac:dyDescent="0.25">
      <c r="A27">
        <v>2015</v>
      </c>
      <c r="B27" t="s">
        <v>48</v>
      </c>
      <c r="C27" s="2" t="s">
        <v>1192</v>
      </c>
      <c r="D27" s="2" t="s">
        <v>1238</v>
      </c>
      <c r="E27" s="2" t="s">
        <v>1148</v>
      </c>
      <c r="F27" s="2" t="s">
        <v>1288</v>
      </c>
      <c r="G27" s="2" t="s">
        <v>1278</v>
      </c>
      <c r="H27" s="2">
        <v>140.71</v>
      </c>
      <c r="I27" s="2">
        <v>16.690000000000001</v>
      </c>
      <c r="J27" s="3">
        <v>57451</v>
      </c>
      <c r="K27" s="3" t="s">
        <v>1244</v>
      </c>
      <c r="L27" s="3" t="s">
        <v>1244</v>
      </c>
      <c r="M27" s="3">
        <f t="shared" si="0"/>
        <v>57451</v>
      </c>
      <c r="N27" s="2">
        <v>129.03</v>
      </c>
      <c r="O27" s="3">
        <v>47095.95</v>
      </c>
      <c r="P27" s="2" t="s">
        <v>1244</v>
      </c>
      <c r="Q27" s="2" t="s">
        <v>1244</v>
      </c>
      <c r="R27" s="41" t="e">
        <f t="shared" si="2"/>
        <v>#VALUE!</v>
      </c>
      <c r="S27" s="3">
        <v>47095.95</v>
      </c>
      <c r="T27" s="2" t="s">
        <v>1244</v>
      </c>
      <c r="U27" s="2" t="s">
        <v>1244</v>
      </c>
      <c r="V27" s="3">
        <f t="shared" si="8"/>
        <v>47095.95</v>
      </c>
      <c r="W27" s="2">
        <f>VLOOKUP(D27,'PGB (2)'!$A$3:$O$50,13,FALSE)</f>
        <v>24714</v>
      </c>
      <c r="X27" s="2">
        <f>VLOOKUP(D27,'PGB (2)'!$A$3:$O$50,15,FALSE)</f>
        <v>2744</v>
      </c>
      <c r="Y27" s="2">
        <f>VLOOKUP(D27,'PGB (2)'!$A$3:$O$50,14,FALSE)</f>
        <v>27458</v>
      </c>
      <c r="Z27" s="2">
        <v>3357</v>
      </c>
      <c r="AA27" s="2">
        <f t="shared" si="9"/>
        <v>21357</v>
      </c>
      <c r="AB27" s="2">
        <f t="shared" si="10"/>
        <v>24101</v>
      </c>
    </row>
    <row r="28" spans="1:28" ht="15" x14ac:dyDescent="0.25">
      <c r="A28">
        <v>2015</v>
      </c>
      <c r="B28" t="s">
        <v>48</v>
      </c>
      <c r="C28" s="2" t="s">
        <v>1193</v>
      </c>
      <c r="D28" s="2" t="s">
        <v>1239</v>
      </c>
      <c r="E28" s="2" t="s">
        <v>1148</v>
      </c>
      <c r="F28" s="2" t="s">
        <v>1288</v>
      </c>
      <c r="G28" s="2" t="s">
        <v>1278</v>
      </c>
      <c r="H28" s="2">
        <v>181.3</v>
      </c>
      <c r="I28" s="2">
        <v>16.690000000000001</v>
      </c>
      <c r="J28" s="3">
        <v>72266.350000000006</v>
      </c>
      <c r="K28" s="3" t="s">
        <v>1244</v>
      </c>
      <c r="L28" s="3" t="s">
        <v>1244</v>
      </c>
      <c r="M28" s="3">
        <f t="shared" si="0"/>
        <v>72266.350000000006</v>
      </c>
      <c r="N28" s="2">
        <v>167.75</v>
      </c>
      <c r="O28" s="3">
        <v>61228.75</v>
      </c>
      <c r="P28" s="2" t="s">
        <v>1244</v>
      </c>
      <c r="Q28" s="2" t="s">
        <v>1244</v>
      </c>
      <c r="R28" s="41" t="e">
        <f t="shared" si="2"/>
        <v>#VALUE!</v>
      </c>
      <c r="S28" s="3">
        <v>61228.75</v>
      </c>
      <c r="T28" s="2" t="s">
        <v>1244</v>
      </c>
      <c r="U28" s="2" t="s">
        <v>1244</v>
      </c>
      <c r="V28" s="3">
        <f t="shared" si="8"/>
        <v>61228.75</v>
      </c>
      <c r="W28" s="2">
        <f>VLOOKUP(D28,'PGB (2)'!$A$3:$O$50,13,FALSE)</f>
        <v>36596</v>
      </c>
      <c r="X28" s="2">
        <f>VLOOKUP(D28,'PGB (2)'!$A$3:$O$50,15,FALSE)</f>
        <v>2744</v>
      </c>
      <c r="Y28" s="2">
        <f>VLOOKUP(D28,'PGB (2)'!$A$3:$O$50,14,FALSE)</f>
        <v>39340</v>
      </c>
      <c r="Z28" s="2">
        <v>3357</v>
      </c>
      <c r="AA28" s="2">
        <f t="shared" si="9"/>
        <v>33239</v>
      </c>
      <c r="AB28" s="2">
        <f t="shared" si="10"/>
        <v>35983</v>
      </c>
    </row>
    <row r="29" spans="1:28" ht="15" x14ac:dyDescent="0.25">
      <c r="A29">
        <v>2015</v>
      </c>
      <c r="B29" t="s">
        <v>48</v>
      </c>
      <c r="C29" s="2" t="s">
        <v>1194</v>
      </c>
      <c r="D29" s="2" t="s">
        <v>1240</v>
      </c>
      <c r="E29" s="2" t="s">
        <v>1148</v>
      </c>
      <c r="F29" s="2" t="s">
        <v>1288</v>
      </c>
      <c r="G29" s="2" t="s">
        <v>1148</v>
      </c>
      <c r="H29" s="2">
        <v>223.71</v>
      </c>
      <c r="I29" s="2">
        <v>22.66</v>
      </c>
      <c r="J29" s="3">
        <v>89925.05</v>
      </c>
      <c r="K29" s="3" t="s">
        <v>1244</v>
      </c>
      <c r="L29" s="3" t="s">
        <v>1244</v>
      </c>
      <c r="M29" s="3">
        <f t="shared" si="0"/>
        <v>89925.05</v>
      </c>
      <c r="N29" s="2">
        <v>208.01</v>
      </c>
      <c r="O29" s="3">
        <v>75923.649999999994</v>
      </c>
      <c r="P29" s="2" t="s">
        <v>1244</v>
      </c>
      <c r="Q29" s="2" t="s">
        <v>1244</v>
      </c>
      <c r="R29" s="41" t="e">
        <f t="shared" si="2"/>
        <v>#VALUE!</v>
      </c>
      <c r="S29" s="3">
        <v>75923.649999999994</v>
      </c>
      <c r="T29" s="2" t="s">
        <v>1244</v>
      </c>
      <c r="U29" s="2" t="s">
        <v>1244</v>
      </c>
      <c r="V29" s="3">
        <f t="shared" si="8"/>
        <v>75923.649999999994</v>
      </c>
      <c r="W29" s="2">
        <f>VLOOKUP(D29,'PGB (2)'!$A$3:$O$50,13,FALSE)</f>
        <v>44816</v>
      </c>
      <c r="X29" s="2">
        <f>VLOOKUP(D29,'PGB (2)'!$A$3:$O$50,15,FALSE)</f>
        <v>2744</v>
      </c>
      <c r="Y29" s="2">
        <f>VLOOKUP(D29,'PGB (2)'!$A$3:$O$50,14,FALSE)</f>
        <v>47560</v>
      </c>
      <c r="Z29" s="2">
        <v>3357</v>
      </c>
      <c r="AA29" s="2">
        <f t="shared" si="9"/>
        <v>41459</v>
      </c>
      <c r="AB29" s="2">
        <f t="shared" si="10"/>
        <v>44203</v>
      </c>
    </row>
    <row r="30" spans="1:28" ht="15" x14ac:dyDescent="0.25">
      <c r="A30">
        <v>2015</v>
      </c>
      <c r="B30" t="s">
        <v>48</v>
      </c>
      <c r="C30" s="2" t="s">
        <v>1195</v>
      </c>
      <c r="D30" s="2" t="s">
        <v>1241</v>
      </c>
      <c r="E30" s="2" t="s">
        <v>1278</v>
      </c>
      <c r="F30" s="2" t="s">
        <v>1288</v>
      </c>
      <c r="G30" s="2" t="s">
        <v>1148</v>
      </c>
      <c r="H30" s="2">
        <v>263.13</v>
      </c>
      <c r="I30" s="2">
        <v>22.66</v>
      </c>
      <c r="J30" s="3">
        <v>104313.35</v>
      </c>
      <c r="K30" s="3" t="s">
        <v>1244</v>
      </c>
      <c r="L30" s="3" t="s">
        <v>1244</v>
      </c>
      <c r="M30" s="3">
        <f t="shared" si="0"/>
        <v>104313.35</v>
      </c>
      <c r="N30" s="2">
        <v>246.46</v>
      </c>
      <c r="O30" s="3">
        <v>89957.900000000009</v>
      </c>
      <c r="P30" s="2" t="s">
        <v>1244</v>
      </c>
      <c r="Q30" s="2" t="s">
        <v>1244</v>
      </c>
      <c r="R30" s="41" t="e">
        <f t="shared" si="2"/>
        <v>#VALUE!</v>
      </c>
      <c r="S30" s="3">
        <v>89957.900000000009</v>
      </c>
      <c r="T30" s="2" t="s">
        <v>1244</v>
      </c>
      <c r="U30" s="2" t="s">
        <v>1244</v>
      </c>
      <c r="V30" s="3">
        <f t="shared" si="8"/>
        <v>89957.900000000009</v>
      </c>
      <c r="W30" s="2">
        <f>VLOOKUP(D30,'PGB (2)'!$A$3:$O$50,13,FALSE)</f>
        <v>56215</v>
      </c>
      <c r="X30" s="2">
        <f>VLOOKUP(D30,'PGB (2)'!$A$3:$O$50,15,FALSE)</f>
        <v>5487</v>
      </c>
      <c r="Y30" s="2">
        <f>VLOOKUP(D30,'PGB (2)'!$A$3:$O$50,14,FALSE)</f>
        <v>61702</v>
      </c>
      <c r="Z30" s="2">
        <v>3357</v>
      </c>
      <c r="AA30" s="2">
        <f t="shared" si="9"/>
        <v>52858</v>
      </c>
      <c r="AB30" s="2">
        <f t="shared" si="10"/>
        <v>58345</v>
      </c>
    </row>
    <row r="31" spans="1:28" ht="15" x14ac:dyDescent="0.25">
      <c r="A31">
        <v>2015</v>
      </c>
      <c r="B31" t="s">
        <v>48</v>
      </c>
      <c r="C31" s="2" t="s">
        <v>1196</v>
      </c>
      <c r="D31" s="2" t="s">
        <v>1242</v>
      </c>
      <c r="E31" s="2" t="s">
        <v>1278</v>
      </c>
      <c r="F31" s="2" t="s">
        <v>1288</v>
      </c>
      <c r="G31" s="2" t="s">
        <v>1148</v>
      </c>
      <c r="H31" s="2">
        <v>261.93</v>
      </c>
      <c r="I31" s="2">
        <v>22.66</v>
      </c>
      <c r="J31" s="3">
        <v>103875.35</v>
      </c>
      <c r="K31" s="3" t="s">
        <v>1244</v>
      </c>
      <c r="L31" s="3" t="s">
        <v>1244</v>
      </c>
      <c r="M31" s="3">
        <f t="shared" si="0"/>
        <v>103875.35</v>
      </c>
      <c r="N31" s="2">
        <v>245.29</v>
      </c>
      <c r="O31" s="3">
        <v>89530.849999999991</v>
      </c>
      <c r="P31" s="2" t="s">
        <v>1244</v>
      </c>
      <c r="Q31" s="2" t="s">
        <v>1244</v>
      </c>
      <c r="R31" s="41" t="e">
        <f t="shared" si="2"/>
        <v>#VALUE!</v>
      </c>
      <c r="S31" s="3">
        <v>89530.849999999991</v>
      </c>
      <c r="T31" s="2" t="s">
        <v>1244</v>
      </c>
      <c r="U31" s="2" t="s">
        <v>1244</v>
      </c>
      <c r="V31" s="3">
        <f t="shared" si="8"/>
        <v>89530.849999999991</v>
      </c>
      <c r="W31" s="2">
        <f>VLOOKUP(D31,'PGB (2)'!$A$3:$O$50,13,FALSE)</f>
        <v>56215</v>
      </c>
      <c r="X31" s="2">
        <f>VLOOKUP(D31,'PGB (2)'!$A$3:$O$50,15,FALSE)</f>
        <v>5487</v>
      </c>
      <c r="Y31" s="2">
        <f>VLOOKUP(D31,'PGB (2)'!$A$3:$O$50,14,FALSE)</f>
        <v>61702</v>
      </c>
      <c r="Z31" s="2">
        <v>3357</v>
      </c>
      <c r="AA31" s="2">
        <f t="shared" si="9"/>
        <v>52858</v>
      </c>
      <c r="AB31" s="2">
        <f t="shared" si="10"/>
        <v>58345</v>
      </c>
    </row>
    <row r="32" spans="1:28" ht="15" x14ac:dyDescent="0.25">
      <c r="A32">
        <v>2015</v>
      </c>
      <c r="B32" t="s">
        <v>48</v>
      </c>
      <c r="C32" s="2" t="s">
        <v>1197</v>
      </c>
      <c r="D32" s="2" t="s">
        <v>1243</v>
      </c>
      <c r="E32" s="2" t="s">
        <v>1278</v>
      </c>
      <c r="F32" s="2" t="s">
        <v>1288</v>
      </c>
      <c r="G32" s="2" t="s">
        <v>1148</v>
      </c>
      <c r="H32" s="2">
        <v>340.98</v>
      </c>
      <c r="I32" s="2">
        <v>23.72</v>
      </c>
      <c r="J32" s="3">
        <v>133115.50000000003</v>
      </c>
      <c r="K32" s="3" t="s">
        <v>1244</v>
      </c>
      <c r="L32" s="3" t="s">
        <v>1244</v>
      </c>
      <c r="M32" s="3">
        <f t="shared" si="0"/>
        <v>133115.50000000003</v>
      </c>
      <c r="N32" s="2">
        <v>320.95999999999998</v>
      </c>
      <c r="O32" s="3">
        <v>117150.39999999999</v>
      </c>
      <c r="P32" s="2" t="s">
        <v>1244</v>
      </c>
      <c r="Q32" s="2" t="s">
        <v>1244</v>
      </c>
      <c r="R32" s="41" t="e">
        <f t="shared" si="2"/>
        <v>#VALUE!</v>
      </c>
      <c r="S32" s="3">
        <v>117150.39999999999</v>
      </c>
      <c r="T32" s="2" t="s">
        <v>1244</v>
      </c>
      <c r="U32" s="2" t="s">
        <v>1244</v>
      </c>
      <c r="V32" s="3">
        <f t="shared" si="8"/>
        <v>117150.39999999999</v>
      </c>
      <c r="W32" s="2">
        <f>VLOOKUP(D32,'PGB (2)'!$A$3:$O$50,13,FALSE)</f>
        <v>47259</v>
      </c>
      <c r="X32" s="2">
        <f>VLOOKUP(D32,'PGB (2)'!$A$3:$O$50,15,FALSE)</f>
        <v>8232</v>
      </c>
      <c r="Y32" s="2">
        <f>VLOOKUP(D32,'PGB (2)'!$A$3:$O$50,14,FALSE)</f>
        <v>55491</v>
      </c>
      <c r="Z32" s="2">
        <v>3357</v>
      </c>
      <c r="AA32" s="2">
        <f t="shared" si="9"/>
        <v>43902</v>
      </c>
      <c r="AB32" s="2">
        <f t="shared" si="10"/>
        <v>52134</v>
      </c>
    </row>
    <row r="33" spans="1:28" ht="15" x14ac:dyDescent="0.25">
      <c r="A33">
        <v>2015</v>
      </c>
      <c r="B33" t="s">
        <v>48</v>
      </c>
      <c r="C33" s="2" t="s">
        <v>1198</v>
      </c>
      <c r="D33" s="2" t="s">
        <v>1198</v>
      </c>
      <c r="E33" s="2" t="s">
        <v>1148</v>
      </c>
      <c r="F33" s="2" t="s">
        <v>1287</v>
      </c>
      <c r="G33" s="2" t="s">
        <v>1148</v>
      </c>
      <c r="H33" s="2">
        <v>89.48</v>
      </c>
      <c r="I33" s="2">
        <v>12.4</v>
      </c>
      <c r="J33" s="3">
        <v>37186.200000000004</v>
      </c>
      <c r="K33" s="3">
        <v>17512.69999999999</v>
      </c>
      <c r="L33" s="3" t="s">
        <v>1244</v>
      </c>
      <c r="M33" s="3">
        <f t="shared" si="0"/>
        <v>54698.899999999994</v>
      </c>
      <c r="N33" s="2">
        <v>86.31</v>
      </c>
      <c r="O33" s="3">
        <v>31503.15</v>
      </c>
      <c r="P33" s="3">
        <v>16187.75</v>
      </c>
      <c r="Q33" s="2" t="s">
        <v>1244</v>
      </c>
      <c r="R33" s="41" t="e">
        <f t="shared" si="2"/>
        <v>#VALUE!</v>
      </c>
      <c r="S33" s="3">
        <v>31503.15</v>
      </c>
      <c r="T33" s="3">
        <f t="shared" ref="T33:T48" si="11">SUM(O33,P33)</f>
        <v>47690.9</v>
      </c>
      <c r="U33" s="2" t="s">
        <v>1244</v>
      </c>
      <c r="V33" s="3">
        <f t="shared" si="8"/>
        <v>47690.9</v>
      </c>
      <c r="W33" s="2">
        <f>VLOOKUP(D33,'PGB (2)'!$A$3:$O$50,13,FALSE)</f>
        <v>25995</v>
      </c>
      <c r="X33" s="2">
        <f>VLOOKUP(D33,'PGB (2)'!$A$3:$O$50,15,FALSE)</f>
        <v>16170</v>
      </c>
      <c r="Y33" s="2">
        <f>VLOOKUP(D33,'PGB (2)'!$A$3:$O$50,14,FALSE)</f>
        <v>42165</v>
      </c>
      <c r="Z33" s="2">
        <v>3357</v>
      </c>
      <c r="AA33" s="2">
        <f t="shared" si="9"/>
        <v>22638</v>
      </c>
      <c r="AB33" s="2">
        <f t="shared" si="10"/>
        <v>38808</v>
      </c>
    </row>
    <row r="34" spans="1:28" ht="15" x14ac:dyDescent="0.25">
      <c r="A34">
        <v>2015</v>
      </c>
      <c r="B34" t="s">
        <v>48</v>
      </c>
      <c r="C34" s="2" t="s">
        <v>1199</v>
      </c>
      <c r="D34" s="2" t="s">
        <v>1199</v>
      </c>
      <c r="E34" s="2" t="s">
        <v>1148</v>
      </c>
      <c r="F34" s="2" t="s">
        <v>1288</v>
      </c>
      <c r="G34" s="2" t="s">
        <v>1278</v>
      </c>
      <c r="H34" s="2">
        <v>118.87</v>
      </c>
      <c r="I34" s="2">
        <v>12.4</v>
      </c>
      <c r="J34" s="3">
        <v>47913.55</v>
      </c>
      <c r="K34" s="3">
        <v>16085.549999999996</v>
      </c>
      <c r="L34" s="3" t="s">
        <v>1244</v>
      </c>
      <c r="M34" s="3">
        <f t="shared" si="0"/>
        <v>63999.1</v>
      </c>
      <c r="N34" s="2">
        <v>114.28</v>
      </c>
      <c r="O34" s="3">
        <v>41712.199999999997</v>
      </c>
      <c r="P34" s="3">
        <v>14738.700000000004</v>
      </c>
      <c r="Q34" s="2" t="s">
        <v>1244</v>
      </c>
      <c r="R34" s="41" t="e">
        <f t="shared" si="2"/>
        <v>#VALUE!</v>
      </c>
      <c r="S34" s="3">
        <v>41712.199999999997</v>
      </c>
      <c r="T34" s="3">
        <f t="shared" si="11"/>
        <v>56450.9</v>
      </c>
      <c r="U34" s="2" t="s">
        <v>1244</v>
      </c>
      <c r="V34" s="3">
        <f t="shared" si="8"/>
        <v>56450.9</v>
      </c>
      <c r="W34" s="2">
        <f>VLOOKUP(D34,'PGB (2)'!$A$3:$O$50,13,FALSE)</f>
        <v>34215</v>
      </c>
      <c r="X34" s="2">
        <f>VLOOKUP(D34,'PGB (2)'!$A$3:$O$50,15,FALSE)</f>
        <v>16170</v>
      </c>
      <c r="Y34" s="2">
        <f>VLOOKUP(D34,'PGB (2)'!$A$3:$O$50,14,FALSE)</f>
        <v>50385</v>
      </c>
      <c r="Z34" s="2">
        <v>3357</v>
      </c>
      <c r="AA34" s="2">
        <f t="shared" si="9"/>
        <v>30858</v>
      </c>
      <c r="AB34" s="2">
        <f t="shared" si="10"/>
        <v>47028</v>
      </c>
    </row>
    <row r="35" spans="1:28" ht="15" x14ac:dyDescent="0.25">
      <c r="A35">
        <v>2015</v>
      </c>
      <c r="B35" t="s">
        <v>48</v>
      </c>
      <c r="C35" s="2" t="s">
        <v>1200</v>
      </c>
      <c r="D35" s="2" t="s">
        <v>1200</v>
      </c>
      <c r="E35" s="2" t="s">
        <v>1148</v>
      </c>
      <c r="F35" s="2" t="s">
        <v>1287</v>
      </c>
      <c r="G35" s="2" t="s">
        <v>1148</v>
      </c>
      <c r="H35" s="2">
        <v>104.18</v>
      </c>
      <c r="I35" s="2">
        <v>12.4</v>
      </c>
      <c r="J35" s="3">
        <v>42551.700000000004</v>
      </c>
      <c r="K35" s="3">
        <v>17512.699999999997</v>
      </c>
      <c r="L35" s="3">
        <v>11563.19999999999</v>
      </c>
      <c r="M35" s="3">
        <f t="shared" si="0"/>
        <v>71627.599999999991</v>
      </c>
      <c r="N35" s="2">
        <v>100.3</v>
      </c>
      <c r="O35" s="3">
        <v>36609.5</v>
      </c>
      <c r="P35" s="3">
        <v>16191.400000000001</v>
      </c>
      <c r="Q35" s="3">
        <v>8511.8000000000029</v>
      </c>
      <c r="R35" s="41">
        <f t="shared" si="2"/>
        <v>163.68846153846158</v>
      </c>
      <c r="S35" s="3">
        <v>36609.5</v>
      </c>
      <c r="T35" s="3">
        <f t="shared" si="11"/>
        <v>52800.9</v>
      </c>
      <c r="U35" s="3">
        <f t="shared" ref="U35:U43" si="12">SUM(O35,Q35)</f>
        <v>45121.3</v>
      </c>
      <c r="V35" s="3">
        <f t="shared" si="8"/>
        <v>61312.700000000004</v>
      </c>
      <c r="W35" s="2">
        <f>VLOOKUP(D35,'PGB (2)'!$A$3:$O$50,13,FALSE)</f>
        <v>28256</v>
      </c>
      <c r="X35" s="2">
        <f>VLOOKUP(D35,'PGB (2)'!$A$3:$O$50,15,FALSE)</f>
        <v>18622</v>
      </c>
      <c r="Y35" s="2">
        <f>VLOOKUP(D35,'PGB (2)'!$A$3:$O$50,14,FALSE)</f>
        <v>46878</v>
      </c>
      <c r="Z35" s="2">
        <v>3357</v>
      </c>
      <c r="AA35" s="2">
        <f t="shared" si="9"/>
        <v>24899</v>
      </c>
      <c r="AB35" s="2">
        <f t="shared" si="10"/>
        <v>43521</v>
      </c>
    </row>
    <row r="36" spans="1:28" ht="15" x14ac:dyDescent="0.25">
      <c r="A36">
        <v>2015</v>
      </c>
      <c r="B36" t="s">
        <v>48</v>
      </c>
      <c r="C36" s="2" t="s">
        <v>1201</v>
      </c>
      <c r="D36" s="2" t="s">
        <v>1201</v>
      </c>
      <c r="E36" s="2" t="s">
        <v>1148</v>
      </c>
      <c r="F36" s="2" t="s">
        <v>1288</v>
      </c>
      <c r="G36" s="2" t="s">
        <v>1278</v>
      </c>
      <c r="H36" s="2">
        <v>120.74</v>
      </c>
      <c r="I36" s="2">
        <v>12.4</v>
      </c>
      <c r="J36" s="3">
        <v>48596.1</v>
      </c>
      <c r="K36" s="3">
        <v>16081.899999999994</v>
      </c>
      <c r="L36" s="3">
        <v>11756.650000000001</v>
      </c>
      <c r="M36" s="3">
        <f t="shared" si="0"/>
        <v>76434.649999999994</v>
      </c>
      <c r="N36" s="2">
        <v>116.06</v>
      </c>
      <c r="O36" s="3">
        <v>42361.9</v>
      </c>
      <c r="P36" s="3">
        <v>14735.050000000003</v>
      </c>
      <c r="Q36" s="3">
        <v>8697.9499999999971</v>
      </c>
      <c r="R36" s="41">
        <f t="shared" si="2"/>
        <v>167.26826923076916</v>
      </c>
      <c r="S36" s="3">
        <v>42361.9</v>
      </c>
      <c r="T36" s="3">
        <f t="shared" si="11"/>
        <v>57096.950000000004</v>
      </c>
      <c r="U36" s="3">
        <f t="shared" si="12"/>
        <v>51059.85</v>
      </c>
      <c r="V36" s="3">
        <f t="shared" si="8"/>
        <v>65794.899999999994</v>
      </c>
      <c r="W36" s="2">
        <f>VLOOKUP(D36,'PGB (2)'!$A$3:$O$50,13,FALSE)</f>
        <v>34215</v>
      </c>
      <c r="X36" s="2">
        <f>VLOOKUP(D36,'PGB (2)'!$A$3:$O$50,15,FALSE)</f>
        <v>16170</v>
      </c>
      <c r="Y36" s="2">
        <f>VLOOKUP(D36,'PGB (2)'!$A$3:$O$50,14,FALSE)</f>
        <v>50385</v>
      </c>
      <c r="Z36" s="2">
        <v>3357</v>
      </c>
      <c r="AA36" s="2">
        <f t="shared" si="9"/>
        <v>30858</v>
      </c>
      <c r="AB36" s="2">
        <f t="shared" si="10"/>
        <v>47028</v>
      </c>
    </row>
    <row r="37" spans="1:28" x14ac:dyDescent="0.3">
      <c r="A37">
        <v>2015</v>
      </c>
      <c r="B37" t="s">
        <v>48</v>
      </c>
      <c r="C37" s="2" t="s">
        <v>1202</v>
      </c>
      <c r="D37" s="2" t="s">
        <v>1202</v>
      </c>
      <c r="E37" s="2" t="s">
        <v>1278</v>
      </c>
      <c r="F37" s="2" t="s">
        <v>1288</v>
      </c>
      <c r="G37" s="2" t="s">
        <v>1278</v>
      </c>
      <c r="H37" s="2">
        <v>143.06</v>
      </c>
      <c r="I37" s="2">
        <v>13.920000000000002</v>
      </c>
      <c r="J37" s="3">
        <v>57297.700000000004</v>
      </c>
      <c r="K37" s="3">
        <v>17658.69999999999</v>
      </c>
      <c r="L37" s="3">
        <v>14457.650000000001</v>
      </c>
      <c r="M37" s="3">
        <f t="shared" si="0"/>
        <v>89414.049999999988</v>
      </c>
      <c r="N37" s="2">
        <v>137.32</v>
      </c>
      <c r="O37" s="3">
        <v>50121.799999999996</v>
      </c>
      <c r="P37" s="3">
        <v>16191.400000000001</v>
      </c>
      <c r="Q37" s="3">
        <v>10384.250000000007</v>
      </c>
      <c r="R37" s="41">
        <f t="shared" si="2"/>
        <v>199.69711538461553</v>
      </c>
      <c r="S37" s="3">
        <v>50121.799999999996</v>
      </c>
      <c r="T37" s="3">
        <f t="shared" si="11"/>
        <v>66313.2</v>
      </c>
      <c r="U37" s="3">
        <f t="shared" si="12"/>
        <v>60506.05</v>
      </c>
      <c r="V37" s="3">
        <f t="shared" si="8"/>
        <v>76697.450000000012</v>
      </c>
      <c r="W37" s="2">
        <f>VLOOKUP(D37,'PGB (2)'!$A$3:$O$50,13,FALSE)</f>
        <v>41244</v>
      </c>
      <c r="X37" s="2">
        <f>VLOOKUP(D37,'PGB (2)'!$A$3:$O$50,15,FALSE)</f>
        <v>18622</v>
      </c>
      <c r="Y37" s="2">
        <f>VLOOKUP(D37,'PGB (2)'!$A$3:$O$50,14,FALSE)</f>
        <v>59866</v>
      </c>
      <c r="Z37" s="2">
        <v>3357</v>
      </c>
      <c r="AA37" s="2">
        <f t="shared" si="9"/>
        <v>37887</v>
      </c>
      <c r="AB37" s="2">
        <f t="shared" si="10"/>
        <v>56509</v>
      </c>
    </row>
    <row r="38" spans="1:28" x14ac:dyDescent="0.3">
      <c r="A38">
        <v>2015</v>
      </c>
      <c r="B38" t="s">
        <v>48</v>
      </c>
      <c r="C38" s="2" t="s">
        <v>1203</v>
      </c>
      <c r="D38" s="2" t="s">
        <v>1203</v>
      </c>
      <c r="E38" s="2" t="s">
        <v>1148</v>
      </c>
      <c r="F38" s="2" t="s">
        <v>1288</v>
      </c>
      <c r="G38" s="2" t="s">
        <v>1278</v>
      </c>
      <c r="H38" s="2">
        <v>157.16999999999999</v>
      </c>
      <c r="I38" s="2">
        <v>16.34</v>
      </c>
      <c r="J38" s="3">
        <v>63331.149999999994</v>
      </c>
      <c r="K38" s="3">
        <v>16552.75</v>
      </c>
      <c r="L38" s="3">
        <v>16362.950000000012</v>
      </c>
      <c r="M38" s="3">
        <f t="shared" si="0"/>
        <v>96246.85</v>
      </c>
      <c r="N38" s="2">
        <v>150.75</v>
      </c>
      <c r="O38" s="3">
        <v>55023.75</v>
      </c>
      <c r="P38" s="3">
        <v>14738.699999999997</v>
      </c>
      <c r="Q38" s="3">
        <v>12194.649999999994</v>
      </c>
      <c r="R38" s="41">
        <f t="shared" si="2"/>
        <v>234.51249999999987</v>
      </c>
      <c r="S38" s="3">
        <v>55023.75</v>
      </c>
      <c r="T38" s="3">
        <f t="shared" si="11"/>
        <v>69762.45</v>
      </c>
      <c r="U38" s="3">
        <f t="shared" si="12"/>
        <v>67218.399999999994</v>
      </c>
      <c r="V38" s="3">
        <f t="shared" si="8"/>
        <v>81957.099999999991</v>
      </c>
      <c r="W38" s="2">
        <f>VLOOKUP(D38,'PGB (2)'!$A$3:$O$50,13,FALSE)</f>
        <v>49580</v>
      </c>
      <c r="X38" s="2">
        <f>VLOOKUP(D38,'PGB (2)'!$A$3:$O$50,15,FALSE)</f>
        <v>16170</v>
      </c>
      <c r="Y38" s="2">
        <f>VLOOKUP(D38,'PGB (2)'!$A$3:$O$50,14,FALSE)</f>
        <v>65750</v>
      </c>
      <c r="Z38" s="2">
        <v>3357</v>
      </c>
      <c r="AA38" s="2">
        <f t="shared" si="9"/>
        <v>46223</v>
      </c>
      <c r="AB38" s="2">
        <f t="shared" si="10"/>
        <v>62393</v>
      </c>
    </row>
    <row r="39" spans="1:28" x14ac:dyDescent="0.3">
      <c r="A39">
        <v>2015</v>
      </c>
      <c r="B39" t="s">
        <v>48</v>
      </c>
      <c r="C39" s="2" t="s">
        <v>1204</v>
      </c>
      <c r="D39" s="2" t="s">
        <v>1204</v>
      </c>
      <c r="E39" s="2" t="s">
        <v>1278</v>
      </c>
      <c r="F39" s="2" t="s">
        <v>1288</v>
      </c>
      <c r="G39" s="2" t="s">
        <v>1278</v>
      </c>
      <c r="H39" s="2">
        <v>175.64</v>
      </c>
      <c r="I39" s="2">
        <v>16.34</v>
      </c>
      <c r="J39" s="3">
        <v>70072.7</v>
      </c>
      <c r="K39" s="3">
        <v>14216.75</v>
      </c>
      <c r="L39" s="3">
        <v>15103.699999999997</v>
      </c>
      <c r="M39" s="3">
        <f t="shared" si="0"/>
        <v>99393.15</v>
      </c>
      <c r="N39" s="2">
        <v>168.35</v>
      </c>
      <c r="O39" s="3">
        <v>61447.75</v>
      </c>
      <c r="P39" s="3">
        <v>12366.199999999997</v>
      </c>
      <c r="Q39" s="3">
        <v>10993.800000000003</v>
      </c>
      <c r="R39" s="41">
        <f t="shared" si="2"/>
        <v>211.41923076923084</v>
      </c>
      <c r="S39" s="3">
        <v>61447.75</v>
      </c>
      <c r="T39" s="3">
        <f t="shared" si="11"/>
        <v>73813.95</v>
      </c>
      <c r="U39" s="3">
        <f t="shared" si="12"/>
        <v>72441.55</v>
      </c>
      <c r="V39" s="3">
        <f t="shared" si="8"/>
        <v>84807.75</v>
      </c>
      <c r="W39" s="2">
        <f>VLOOKUP(D39,'PGB (2)'!$A$3:$O$50,13,FALSE)</f>
        <v>55502</v>
      </c>
      <c r="X39" s="2">
        <f>VLOOKUP(D39,'PGB (2)'!$A$3:$O$50,15,FALSE)</f>
        <v>13721</v>
      </c>
      <c r="Y39" s="2">
        <f>VLOOKUP(D39,'PGB (2)'!$A$3:$O$50,14,FALSE)</f>
        <v>69223</v>
      </c>
      <c r="Z39" s="2">
        <v>3357</v>
      </c>
      <c r="AA39" s="2">
        <f t="shared" si="9"/>
        <v>52145</v>
      </c>
      <c r="AB39" s="2">
        <f t="shared" si="10"/>
        <v>65866</v>
      </c>
    </row>
    <row r="40" spans="1:28" x14ac:dyDescent="0.3">
      <c r="A40">
        <v>2015</v>
      </c>
      <c r="B40" t="s">
        <v>48</v>
      </c>
      <c r="C40" s="2" t="s">
        <v>1205</v>
      </c>
      <c r="D40" s="2" t="s">
        <v>1205</v>
      </c>
      <c r="E40" s="2" t="s">
        <v>1148</v>
      </c>
      <c r="F40" s="2" t="s">
        <v>1287</v>
      </c>
      <c r="G40" s="2" t="s">
        <v>1148</v>
      </c>
      <c r="H40" s="2">
        <v>106.17</v>
      </c>
      <c r="I40" s="2">
        <v>13.84</v>
      </c>
      <c r="J40" s="3">
        <v>43803.65</v>
      </c>
      <c r="K40" s="3">
        <v>19527.499999999993</v>
      </c>
      <c r="L40" s="3">
        <v>6989.75</v>
      </c>
      <c r="M40" s="3">
        <f t="shared" si="0"/>
        <v>70320.899999999994</v>
      </c>
      <c r="N40" s="2">
        <v>102.22</v>
      </c>
      <c r="O40" s="3">
        <v>37310.300000000003</v>
      </c>
      <c r="P40" s="3">
        <v>18264.599999999991</v>
      </c>
      <c r="Q40" s="3">
        <v>3916.4499999999971</v>
      </c>
      <c r="R40" s="41">
        <f t="shared" si="2"/>
        <v>75.316346153846098</v>
      </c>
      <c r="S40" s="3">
        <v>37310.300000000003</v>
      </c>
      <c r="T40" s="3">
        <f t="shared" si="11"/>
        <v>55574.899999999994</v>
      </c>
      <c r="U40" s="3">
        <f t="shared" si="12"/>
        <v>41226.75</v>
      </c>
      <c r="V40" s="3">
        <f t="shared" si="8"/>
        <v>59491.349999999991</v>
      </c>
      <c r="W40" s="2">
        <f>VLOOKUP(D40,'PGB (2)'!$A$3:$O$50,13,FALSE)</f>
        <v>27642</v>
      </c>
      <c r="X40" s="2">
        <f>VLOOKUP(D40,'PGB (2)'!$A$3:$O$50,15,FALSE)</f>
        <v>21072</v>
      </c>
      <c r="Y40" s="2">
        <f>VLOOKUP(D40,'PGB (2)'!$A$3:$O$50,14,FALSE)</f>
        <v>48714</v>
      </c>
      <c r="Z40" s="2">
        <v>3357</v>
      </c>
      <c r="AA40" s="2">
        <f t="shared" si="9"/>
        <v>24285</v>
      </c>
      <c r="AB40" s="2">
        <f t="shared" si="10"/>
        <v>45357</v>
      </c>
    </row>
    <row r="41" spans="1:28" x14ac:dyDescent="0.3">
      <c r="A41">
        <v>2015</v>
      </c>
      <c r="B41" t="s">
        <v>48</v>
      </c>
      <c r="C41" s="2" t="s">
        <v>1206</v>
      </c>
      <c r="D41" s="2" t="s">
        <v>1206</v>
      </c>
      <c r="E41" s="2" t="s">
        <v>1148</v>
      </c>
      <c r="F41" s="2" t="s">
        <v>1288</v>
      </c>
      <c r="G41" s="2" t="s">
        <v>1278</v>
      </c>
      <c r="H41" s="2">
        <v>208.76</v>
      </c>
      <c r="I41" s="2">
        <v>13.84</v>
      </c>
      <c r="J41" s="3">
        <v>81249</v>
      </c>
      <c r="K41" s="3">
        <v>24601</v>
      </c>
      <c r="L41" s="3">
        <v>11096</v>
      </c>
      <c r="M41" s="3">
        <f t="shared" si="0"/>
        <v>116946</v>
      </c>
      <c r="N41" s="2">
        <v>199.88</v>
      </c>
      <c r="O41" s="3">
        <v>72956.2</v>
      </c>
      <c r="P41" s="3">
        <v>23411.099999999991</v>
      </c>
      <c r="Q41" s="3">
        <v>7832.9000000000087</v>
      </c>
      <c r="R41" s="41">
        <f t="shared" si="2"/>
        <v>150.63269230769248</v>
      </c>
      <c r="S41" s="3">
        <v>72956.2</v>
      </c>
      <c r="T41" s="3">
        <f t="shared" si="11"/>
        <v>96367.299999999988</v>
      </c>
      <c r="U41" s="3">
        <f t="shared" si="12"/>
        <v>80789.100000000006</v>
      </c>
      <c r="V41" s="3">
        <f t="shared" si="8"/>
        <v>104200.2</v>
      </c>
      <c r="W41" s="2">
        <f>VLOOKUP(D41,'PGB (2)'!$A$3:$O$50,13,FALSE)</f>
        <v>63905</v>
      </c>
      <c r="X41" s="2">
        <f>VLOOKUP(D41,'PGB (2)'!$A$3:$O$50,15,FALSE)</f>
        <v>23523</v>
      </c>
      <c r="Y41" s="2">
        <f>VLOOKUP(D41,'PGB (2)'!$A$3:$O$50,14,FALSE)</f>
        <v>87428</v>
      </c>
      <c r="Z41" s="2">
        <v>3357</v>
      </c>
      <c r="AA41" s="2">
        <f t="shared" si="9"/>
        <v>60548</v>
      </c>
      <c r="AB41" s="2">
        <f t="shared" si="10"/>
        <v>84071</v>
      </c>
    </row>
    <row r="42" spans="1:28" x14ac:dyDescent="0.3">
      <c r="A42">
        <v>2015</v>
      </c>
      <c r="B42" t="s">
        <v>48</v>
      </c>
      <c r="C42" s="2" t="s">
        <v>1207</v>
      </c>
      <c r="D42" s="2" t="s">
        <v>1207</v>
      </c>
      <c r="E42" s="2" t="s">
        <v>1278</v>
      </c>
      <c r="F42" s="2" t="s">
        <v>1288</v>
      </c>
      <c r="G42" s="2" t="s">
        <v>1278</v>
      </c>
      <c r="H42" s="2">
        <v>243.59</v>
      </c>
      <c r="I42" s="2">
        <v>13.129999999999999</v>
      </c>
      <c r="J42" s="3">
        <v>93702.8</v>
      </c>
      <c r="K42" s="3">
        <v>28247.349999999977</v>
      </c>
      <c r="L42" s="3">
        <v>11815.049999999988</v>
      </c>
      <c r="M42" s="3">
        <f t="shared" si="0"/>
        <v>133765.19999999995</v>
      </c>
      <c r="N42" s="2">
        <v>233.06</v>
      </c>
      <c r="O42" s="3">
        <v>85066.9</v>
      </c>
      <c r="P42" s="3">
        <v>26845.750000000015</v>
      </c>
      <c r="Q42" s="3">
        <v>7829.25</v>
      </c>
      <c r="R42" s="41">
        <f t="shared" si="2"/>
        <v>150.5625</v>
      </c>
      <c r="S42" s="3">
        <v>85066.9</v>
      </c>
      <c r="T42" s="3">
        <f t="shared" si="11"/>
        <v>111912.65000000001</v>
      </c>
      <c r="U42" s="3">
        <f t="shared" si="12"/>
        <v>92896.15</v>
      </c>
      <c r="V42" s="3">
        <f t="shared" si="8"/>
        <v>119741.90000000001</v>
      </c>
      <c r="W42" s="2">
        <f>VLOOKUP(D42,'PGB (2)'!$A$3:$O$50,13,FALSE)</f>
        <v>80032</v>
      </c>
      <c r="X42" s="2">
        <f>VLOOKUP(D42,'PGB (2)'!$A$3:$O$50,15,FALSE)</f>
        <v>23523</v>
      </c>
      <c r="Y42" s="2">
        <f>VLOOKUP(D42,'PGB (2)'!$A$3:$O$50,14,FALSE)</f>
        <v>103555</v>
      </c>
      <c r="Z42" s="2">
        <v>3357</v>
      </c>
      <c r="AA42" s="2">
        <f t="shared" si="9"/>
        <v>76675</v>
      </c>
      <c r="AB42" s="2">
        <f t="shared" si="10"/>
        <v>100198</v>
      </c>
    </row>
    <row r="43" spans="1:28" x14ac:dyDescent="0.3">
      <c r="A43">
        <v>2015</v>
      </c>
      <c r="B43" t="s">
        <v>48</v>
      </c>
      <c r="C43" s="2" t="s">
        <v>1208</v>
      </c>
      <c r="D43" s="2" t="s">
        <v>1208</v>
      </c>
      <c r="E43" s="2" t="s">
        <v>1148</v>
      </c>
      <c r="F43" s="2" t="s">
        <v>1288</v>
      </c>
      <c r="G43" s="2" t="s">
        <v>1278</v>
      </c>
      <c r="H43" s="2">
        <v>155.97</v>
      </c>
      <c r="I43" s="2">
        <v>13.84</v>
      </c>
      <c r="J43" s="3">
        <v>61980.65</v>
      </c>
      <c r="K43" s="3">
        <v>19527.499999999993</v>
      </c>
      <c r="L43" s="3">
        <v>11106.94999999999</v>
      </c>
      <c r="M43" s="3">
        <f t="shared" si="0"/>
        <v>92615.099999999977</v>
      </c>
      <c r="N43" s="2">
        <v>149.63999999999999</v>
      </c>
      <c r="O43" s="3">
        <v>54618.6</v>
      </c>
      <c r="P43" s="3">
        <v>18257.299999999996</v>
      </c>
      <c r="Q43" s="3">
        <v>7829.25</v>
      </c>
      <c r="R43" s="41">
        <f t="shared" si="2"/>
        <v>150.5625</v>
      </c>
      <c r="S43" s="3">
        <v>54618.6</v>
      </c>
      <c r="T43" s="3">
        <f t="shared" si="11"/>
        <v>72875.899999999994</v>
      </c>
      <c r="U43" s="3">
        <f t="shared" si="12"/>
        <v>62447.85</v>
      </c>
      <c r="V43" s="3">
        <f t="shared" si="8"/>
        <v>80705.149999999994</v>
      </c>
      <c r="W43" s="2">
        <f>VLOOKUP(D43,'PGB (2)'!$A$3:$O$50,13,FALSE)</f>
        <v>47259</v>
      </c>
      <c r="X43" s="2">
        <f>VLOOKUP(D43,'PGB (2)'!$A$3:$O$50,15,FALSE)</f>
        <v>18622</v>
      </c>
      <c r="Y43" s="2">
        <f>VLOOKUP(D43,'PGB (2)'!$A$3:$O$50,14,FALSE)</f>
        <v>65881</v>
      </c>
      <c r="Z43" s="2">
        <v>3357</v>
      </c>
      <c r="AA43" s="2">
        <f t="shared" si="9"/>
        <v>43902</v>
      </c>
      <c r="AB43" s="2">
        <f t="shared" si="10"/>
        <v>62524</v>
      </c>
    </row>
    <row r="44" spans="1:28" x14ac:dyDescent="0.3">
      <c r="A44">
        <v>2015</v>
      </c>
      <c r="B44" t="s">
        <v>48</v>
      </c>
      <c r="C44" s="2" t="s">
        <v>1209</v>
      </c>
      <c r="D44" s="2" t="s">
        <v>1209</v>
      </c>
      <c r="E44" s="2" t="s">
        <v>1148</v>
      </c>
      <c r="F44" s="2" t="s">
        <v>1287</v>
      </c>
      <c r="G44" s="2" t="s">
        <v>1148</v>
      </c>
      <c r="H44" s="2">
        <v>70.88</v>
      </c>
      <c r="I44" s="2">
        <v>13.84</v>
      </c>
      <c r="J44" s="3">
        <v>30922.799999999999</v>
      </c>
      <c r="K44" s="3">
        <v>16523.550000000007</v>
      </c>
      <c r="L44" s="3" t="s">
        <v>1244</v>
      </c>
      <c r="M44" s="3">
        <f t="shared" si="0"/>
        <v>47446.350000000006</v>
      </c>
      <c r="N44" s="2">
        <v>68.62</v>
      </c>
      <c r="O44" s="3">
        <v>25046.300000000003</v>
      </c>
      <c r="P44" s="3">
        <v>15216.849999999999</v>
      </c>
      <c r="Q44" s="2" t="s">
        <v>1244</v>
      </c>
      <c r="R44" s="41" t="e">
        <f t="shared" si="2"/>
        <v>#VALUE!</v>
      </c>
      <c r="S44" s="3">
        <v>25046.300000000003</v>
      </c>
      <c r="T44" s="3">
        <f t="shared" si="11"/>
        <v>40263.15</v>
      </c>
      <c r="U44" s="2" t="s">
        <v>1244</v>
      </c>
      <c r="V44" s="3">
        <f t="shared" si="8"/>
        <v>40263.15</v>
      </c>
      <c r="W44" s="2">
        <f>VLOOKUP(D44,'PGB (2)'!$A$3:$O$50,13,FALSE)</f>
        <v>18755</v>
      </c>
      <c r="X44" s="2">
        <f>VLOOKUP(D44,'PGB (2)'!$A$3:$O$50,15,FALSE)</f>
        <v>16170</v>
      </c>
      <c r="Y44" s="2">
        <f>VLOOKUP(D44,'PGB (2)'!$A$3:$O$50,14,FALSE)</f>
        <v>34925</v>
      </c>
      <c r="Z44" s="2">
        <v>3357</v>
      </c>
      <c r="AA44" s="2">
        <f t="shared" si="9"/>
        <v>15398</v>
      </c>
      <c r="AB44" s="2">
        <f t="shared" si="10"/>
        <v>31568</v>
      </c>
    </row>
    <row r="45" spans="1:28" x14ac:dyDescent="0.3">
      <c r="A45">
        <v>2015</v>
      </c>
      <c r="B45" t="s">
        <v>48</v>
      </c>
      <c r="C45" s="2" t="s">
        <v>1210</v>
      </c>
      <c r="D45" s="2" t="s">
        <v>1210</v>
      </c>
      <c r="E45" s="2" t="s">
        <v>1148</v>
      </c>
      <c r="F45" s="2" t="s">
        <v>1288</v>
      </c>
      <c r="G45" s="2" t="s">
        <v>1278</v>
      </c>
      <c r="H45" s="2">
        <v>105.68</v>
      </c>
      <c r="I45" s="2">
        <v>13.84</v>
      </c>
      <c r="J45" s="3">
        <v>43624.800000000003</v>
      </c>
      <c r="K45" s="3">
        <v>14023.299999999996</v>
      </c>
      <c r="L45" s="3" t="s">
        <v>1244</v>
      </c>
      <c r="M45" s="3">
        <f t="shared" si="0"/>
        <v>57648.1</v>
      </c>
      <c r="N45" s="2">
        <v>101.75</v>
      </c>
      <c r="O45" s="3">
        <v>37138.75</v>
      </c>
      <c r="P45" s="3">
        <v>12680.100000000006</v>
      </c>
      <c r="Q45" s="2" t="s">
        <v>1244</v>
      </c>
      <c r="R45" s="41" t="e">
        <f t="shared" si="2"/>
        <v>#VALUE!</v>
      </c>
      <c r="S45" s="3">
        <v>37138.75</v>
      </c>
      <c r="T45" s="3">
        <f t="shared" si="11"/>
        <v>49818.850000000006</v>
      </c>
      <c r="U45" s="2" t="s">
        <v>1244</v>
      </c>
      <c r="V45" s="3">
        <f t="shared" si="8"/>
        <v>49818.850000000006</v>
      </c>
      <c r="W45" s="2">
        <f>VLOOKUP(D45,'PGB (2)'!$A$3:$O$50,13,FALSE)</f>
        <v>30636</v>
      </c>
      <c r="X45" s="2">
        <f>VLOOKUP(D45,'PGB (2)'!$A$3:$O$50,15,FALSE)</f>
        <v>13721</v>
      </c>
      <c r="Y45" s="2">
        <f>VLOOKUP(D45,'PGB (2)'!$A$3:$O$50,14,FALSE)</f>
        <v>44357</v>
      </c>
      <c r="Z45" s="2">
        <v>3357</v>
      </c>
      <c r="AA45" s="2">
        <f t="shared" si="9"/>
        <v>27279</v>
      </c>
      <c r="AB45" s="2">
        <f t="shared" si="10"/>
        <v>41000</v>
      </c>
    </row>
    <row r="46" spans="1:28" x14ac:dyDescent="0.3">
      <c r="A46">
        <v>2015</v>
      </c>
      <c r="B46" t="s">
        <v>48</v>
      </c>
      <c r="C46" s="2" t="s">
        <v>1211</v>
      </c>
      <c r="D46" s="2" t="s">
        <v>1211</v>
      </c>
      <c r="E46" s="2" t="s">
        <v>1148</v>
      </c>
      <c r="F46" s="2" t="s">
        <v>1288</v>
      </c>
      <c r="G46" s="2" t="s">
        <v>1278</v>
      </c>
      <c r="H46" s="2">
        <v>129.51</v>
      </c>
      <c r="I46" s="2">
        <v>13.84</v>
      </c>
      <c r="J46" s="3">
        <v>52322.75</v>
      </c>
      <c r="K46" s="3">
        <v>14023.299999999988</v>
      </c>
      <c r="L46" s="3">
        <v>7825.5999999999985</v>
      </c>
      <c r="M46" s="3">
        <f t="shared" si="0"/>
        <v>74171.649999999994</v>
      </c>
      <c r="N46" s="2">
        <v>124.46</v>
      </c>
      <c r="O46" s="3">
        <v>45427.899999999994</v>
      </c>
      <c r="P46" s="3">
        <v>12680.099999999999</v>
      </c>
      <c r="Q46" s="3">
        <v>4697.5500000000102</v>
      </c>
      <c r="R46" s="41">
        <f t="shared" si="2"/>
        <v>90.33750000000019</v>
      </c>
      <c r="S46" s="3">
        <v>45427.899999999994</v>
      </c>
      <c r="T46" s="3">
        <f t="shared" si="11"/>
        <v>58107.999999999993</v>
      </c>
      <c r="U46" s="3">
        <f>SUM(O46,Q46)</f>
        <v>50125.450000000004</v>
      </c>
      <c r="V46" s="3">
        <f t="shared" si="8"/>
        <v>62805.55</v>
      </c>
      <c r="W46" s="2">
        <f>VLOOKUP(D46,'PGB (2)'!$A$3:$O$50,13,FALSE)</f>
        <v>38210</v>
      </c>
      <c r="X46" s="2">
        <f>VLOOKUP(D46,'PGB (2)'!$A$3:$O$50,15,FALSE)</f>
        <v>13721</v>
      </c>
      <c r="Y46" s="2">
        <f>VLOOKUP(D46,'PGB (2)'!$A$3:$O$50,14,FALSE)</f>
        <v>51931</v>
      </c>
      <c r="Z46" s="2">
        <v>3357</v>
      </c>
      <c r="AA46" s="2">
        <f t="shared" si="9"/>
        <v>34853</v>
      </c>
      <c r="AB46" s="2">
        <f t="shared" si="10"/>
        <v>48574</v>
      </c>
    </row>
    <row r="47" spans="1:28" x14ac:dyDescent="0.3">
      <c r="A47">
        <v>2015</v>
      </c>
      <c r="B47" t="s">
        <v>48</v>
      </c>
      <c r="C47" s="2" t="s">
        <v>1212</v>
      </c>
      <c r="D47" s="2" t="s">
        <v>1212</v>
      </c>
      <c r="E47" s="2" t="s">
        <v>1148</v>
      </c>
      <c r="F47" s="2" t="s">
        <v>1288</v>
      </c>
      <c r="G47" s="2" t="s">
        <v>1278</v>
      </c>
      <c r="H47" s="2">
        <v>164.61</v>
      </c>
      <c r="I47" s="2">
        <v>14.049999999999999</v>
      </c>
      <c r="J47" s="3">
        <v>65210.900000000009</v>
      </c>
      <c r="K47" s="3">
        <v>18647.849999999991</v>
      </c>
      <c r="L47" s="3">
        <v>9891.5</v>
      </c>
      <c r="M47" s="3">
        <f t="shared" si="0"/>
        <v>93750.25</v>
      </c>
      <c r="N47" s="2">
        <v>157.88</v>
      </c>
      <c r="O47" s="3">
        <v>57626.2</v>
      </c>
      <c r="P47" s="3">
        <v>17111.199999999997</v>
      </c>
      <c r="Q47" s="3">
        <v>6000.5999999999985</v>
      </c>
      <c r="R47" s="41">
        <f t="shared" si="2"/>
        <v>115.39615384615382</v>
      </c>
      <c r="S47" s="3">
        <v>57626.2</v>
      </c>
      <c r="T47" s="3">
        <f t="shared" si="11"/>
        <v>74737.399999999994</v>
      </c>
      <c r="U47" s="3">
        <f>SUM(O47,Q47)</f>
        <v>63626.799999999996</v>
      </c>
      <c r="V47" s="3">
        <f t="shared" si="8"/>
        <v>80738</v>
      </c>
      <c r="W47" s="2">
        <f>VLOOKUP(D47,'PGB (2)'!$A$3:$O$50,13,FALSE)</f>
        <v>51657</v>
      </c>
      <c r="X47" s="2">
        <f>VLOOKUP(D47,'PGB (2)'!$A$3:$O$50,15,FALSE)</f>
        <v>18622</v>
      </c>
      <c r="Y47" s="2">
        <f>VLOOKUP(D47,'PGB (2)'!$A$3:$O$50,14,FALSE)</f>
        <v>70279</v>
      </c>
      <c r="Z47" s="2">
        <v>3357</v>
      </c>
      <c r="AA47" s="2">
        <f t="shared" si="9"/>
        <v>48300</v>
      </c>
      <c r="AB47" s="2">
        <f t="shared" si="10"/>
        <v>66922</v>
      </c>
    </row>
    <row r="48" spans="1:28" x14ac:dyDescent="0.3">
      <c r="A48">
        <v>2015</v>
      </c>
      <c r="B48" t="s">
        <v>48</v>
      </c>
      <c r="C48" s="2" t="s">
        <v>1213</v>
      </c>
      <c r="D48" s="2" t="s">
        <v>1213</v>
      </c>
      <c r="E48" s="2" t="s">
        <v>1278</v>
      </c>
      <c r="F48" s="2" t="s">
        <v>1288</v>
      </c>
      <c r="G48" s="2" t="s">
        <v>1278</v>
      </c>
      <c r="H48" s="2">
        <v>181.11</v>
      </c>
      <c r="I48" s="2">
        <v>16.510000000000002</v>
      </c>
      <c r="J48" s="3">
        <v>72131.3</v>
      </c>
      <c r="K48" s="3">
        <v>18965.399999999994</v>
      </c>
      <c r="L48" s="3">
        <v>11413.549999999988</v>
      </c>
      <c r="M48" s="3">
        <f t="shared" si="0"/>
        <v>102510.24999999999</v>
      </c>
      <c r="N48" s="2">
        <v>173.58</v>
      </c>
      <c r="O48" s="3">
        <v>63356.700000000004</v>
      </c>
      <c r="P48" s="3">
        <v>17111.200000000004</v>
      </c>
      <c r="Q48" s="3">
        <v>7449.6500000000015</v>
      </c>
      <c r="R48" s="41">
        <f t="shared" si="2"/>
        <v>143.26250000000002</v>
      </c>
      <c r="S48" s="3">
        <v>63356.700000000004</v>
      </c>
      <c r="T48" s="3">
        <f t="shared" si="11"/>
        <v>80467.900000000009</v>
      </c>
      <c r="U48" s="3">
        <f>SUM(O48,Q48)</f>
        <v>70806.350000000006</v>
      </c>
      <c r="V48" s="3">
        <f t="shared" si="8"/>
        <v>87917.550000000017</v>
      </c>
      <c r="W48" s="2">
        <f>VLOOKUP(D48,'PGB (2)'!$A$3:$O$50,13,FALSE)</f>
        <v>57617</v>
      </c>
      <c r="X48" s="2">
        <f>VLOOKUP(D48,'PGB (2)'!$A$3:$O$50,15,FALSE)</f>
        <v>18622</v>
      </c>
      <c r="Y48" s="2">
        <f>VLOOKUP(D48,'PGB (2)'!$A$3:$O$50,14,FALSE)</f>
        <v>76239</v>
      </c>
      <c r="Z48" s="2">
        <v>3357</v>
      </c>
      <c r="AA48" s="2">
        <f t="shared" si="9"/>
        <v>54260</v>
      </c>
      <c r="AB48" s="2">
        <f t="shared" si="10"/>
        <v>72882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N110"/>
  <sheetViews>
    <sheetView workbookViewId="0">
      <selection activeCell="I1" sqref="I1:I1048576"/>
    </sheetView>
  </sheetViews>
  <sheetFormatPr defaultRowHeight="14.4" x14ac:dyDescent="0.3"/>
  <cols>
    <col min="1" max="1" width="8.5546875" style="28" customWidth="1"/>
    <col min="2" max="2" width="13.44140625" bestFit="1" customWidth="1"/>
    <col min="3" max="3" width="8.5546875" bestFit="1" customWidth="1"/>
    <col min="4" max="4" width="8.5546875" style="28" customWidth="1"/>
    <col min="5" max="5" width="13.33203125" bestFit="1" customWidth="1"/>
    <col min="6" max="6" width="13.44140625" bestFit="1" customWidth="1"/>
    <col min="7" max="7" width="60.6640625" bestFit="1" customWidth="1"/>
    <col min="8" max="8" width="60.6640625" style="28" customWidth="1"/>
    <col min="9" max="9" width="15.33203125" style="28" bestFit="1" customWidth="1"/>
    <col min="10" max="11" width="60.6640625" bestFit="1" customWidth="1"/>
    <col min="12" max="12" width="15.33203125" bestFit="1" customWidth="1"/>
  </cols>
  <sheetData>
    <row r="1" spans="1:14" ht="15" x14ac:dyDescent="0.25">
      <c r="A1" s="28" t="s">
        <v>1317</v>
      </c>
      <c r="B1" t="s">
        <v>4</v>
      </c>
      <c r="C1" t="s">
        <v>2</v>
      </c>
      <c r="D1" s="28" t="s">
        <v>1317</v>
      </c>
      <c r="E1" t="s">
        <v>1</v>
      </c>
      <c r="F1" t="s">
        <v>4</v>
      </c>
      <c r="G1" t="s">
        <v>0</v>
      </c>
      <c r="H1" s="28" t="s">
        <v>0</v>
      </c>
      <c r="I1" s="28" t="s">
        <v>3</v>
      </c>
      <c r="J1" t="s">
        <v>0</v>
      </c>
      <c r="K1" t="s">
        <v>699</v>
      </c>
      <c r="L1" t="s">
        <v>3</v>
      </c>
      <c r="M1" t="s">
        <v>577</v>
      </c>
      <c r="N1" t="s">
        <v>578</v>
      </c>
    </row>
    <row r="2" spans="1:14" ht="15" x14ac:dyDescent="0.25">
      <c r="A2" s="28" t="s">
        <v>1297</v>
      </c>
      <c r="B2" t="s">
        <v>484</v>
      </c>
      <c r="C2">
        <v>2015</v>
      </c>
      <c r="D2" s="28" t="s">
        <v>1297</v>
      </c>
      <c r="E2" t="s">
        <v>6</v>
      </c>
      <c r="F2" t="s">
        <v>484</v>
      </c>
      <c r="G2" t="s">
        <v>483</v>
      </c>
      <c r="H2" s="28" t="str">
        <f t="shared" ref="H2:H33" si="0">CONCATENATE(F2," ",G2)</f>
        <v>H909 Inventaris dagbesteding VG H909</v>
      </c>
      <c r="I2" s="28">
        <v>1.08</v>
      </c>
      <c r="J2" t="s">
        <v>483</v>
      </c>
      <c r="K2" t="s">
        <v>483</v>
      </c>
      <c r="L2">
        <v>1.08</v>
      </c>
      <c r="N2" s="1">
        <f t="shared" ref="N2:N33" si="1">SUM(L2:M2)*365</f>
        <v>394.20000000000005</v>
      </c>
    </row>
    <row r="3" spans="1:14" ht="15" x14ac:dyDescent="0.25">
      <c r="A3" s="28" t="s">
        <v>1297</v>
      </c>
      <c r="B3" t="s">
        <v>439</v>
      </c>
      <c r="C3">
        <v>2015</v>
      </c>
      <c r="D3" s="28" t="s">
        <v>1297</v>
      </c>
      <c r="E3" t="s">
        <v>6</v>
      </c>
      <c r="F3" t="s">
        <v>439</v>
      </c>
      <c r="G3" t="s">
        <v>438</v>
      </c>
      <c r="H3" s="28" t="str">
        <f t="shared" si="0"/>
        <v>H919 Inventaris dagbesteding LG H919</v>
      </c>
      <c r="I3" s="28">
        <v>1.43</v>
      </c>
      <c r="J3" t="s">
        <v>438</v>
      </c>
      <c r="K3" t="s">
        <v>438</v>
      </c>
      <c r="L3">
        <v>1.43</v>
      </c>
      <c r="N3" s="1">
        <f t="shared" si="1"/>
        <v>521.94999999999993</v>
      </c>
    </row>
    <row r="4" spans="1:14" ht="15" x14ac:dyDescent="0.25">
      <c r="A4" s="28" t="s">
        <v>1297</v>
      </c>
      <c r="B4" t="s">
        <v>441</v>
      </c>
      <c r="C4">
        <v>2015</v>
      </c>
      <c r="D4" s="28" t="s">
        <v>1297</v>
      </c>
      <c r="E4" t="s">
        <v>6</v>
      </c>
      <c r="F4" t="s">
        <v>441</v>
      </c>
      <c r="G4" t="s">
        <v>440</v>
      </c>
      <c r="H4" s="28" t="str">
        <f t="shared" si="0"/>
        <v>H929 Inventaris dagbesteding ZG H929</v>
      </c>
      <c r="I4" s="28">
        <v>1.44</v>
      </c>
      <c r="J4" t="s">
        <v>440</v>
      </c>
      <c r="K4" t="s">
        <v>440</v>
      </c>
      <c r="L4">
        <v>1.44</v>
      </c>
      <c r="N4" s="1">
        <f t="shared" si="1"/>
        <v>525.6</v>
      </c>
    </row>
    <row r="5" spans="1:14" ht="15" x14ac:dyDescent="0.25">
      <c r="A5" s="28" t="s">
        <v>1297</v>
      </c>
      <c r="B5" t="s">
        <v>480</v>
      </c>
      <c r="C5">
        <v>2015</v>
      </c>
      <c r="D5" s="28" t="s">
        <v>1297</v>
      </c>
      <c r="E5" t="s">
        <v>6</v>
      </c>
      <c r="F5" t="s">
        <v>480</v>
      </c>
      <c r="G5" t="s">
        <v>479</v>
      </c>
      <c r="H5" s="28" t="str">
        <f t="shared" si="0"/>
        <v>H908 Kapitaallasten dagbesteding VG H908</v>
      </c>
      <c r="I5" s="28">
        <v>6.66</v>
      </c>
      <c r="J5" t="s">
        <v>479</v>
      </c>
      <c r="K5" t="s">
        <v>479</v>
      </c>
      <c r="L5">
        <v>6.66</v>
      </c>
      <c r="N5" s="1">
        <f t="shared" si="1"/>
        <v>2430.9</v>
      </c>
    </row>
    <row r="6" spans="1:14" ht="15" x14ac:dyDescent="0.25">
      <c r="A6" s="28" t="s">
        <v>1297</v>
      </c>
      <c r="B6" t="s">
        <v>446</v>
      </c>
      <c r="C6">
        <v>2015</v>
      </c>
      <c r="D6" s="28" t="s">
        <v>1297</v>
      </c>
      <c r="E6" t="s">
        <v>6</v>
      </c>
      <c r="F6" t="s">
        <v>446</v>
      </c>
      <c r="G6" t="s">
        <v>445</v>
      </c>
      <c r="H6" s="28" t="str">
        <f t="shared" si="0"/>
        <v>H974 Vervoer dagbesteding GHZ intramuraal H974</v>
      </c>
      <c r="I6" s="28">
        <v>6.9</v>
      </c>
      <c r="J6" t="s">
        <v>445</v>
      </c>
      <c r="K6" t="s">
        <v>445</v>
      </c>
      <c r="L6">
        <v>6.9</v>
      </c>
      <c r="N6" s="1">
        <f t="shared" si="1"/>
        <v>2518.5</v>
      </c>
    </row>
    <row r="7" spans="1:14" ht="15" x14ac:dyDescent="0.25">
      <c r="A7" s="28" t="s">
        <v>1297</v>
      </c>
      <c r="B7" t="s">
        <v>435</v>
      </c>
      <c r="C7">
        <v>2015</v>
      </c>
      <c r="D7" s="28" t="s">
        <v>1297</v>
      </c>
      <c r="E7" t="s">
        <v>6</v>
      </c>
      <c r="F7" t="s">
        <v>435</v>
      </c>
      <c r="G7" t="s">
        <v>434</v>
      </c>
      <c r="H7" s="28" t="str">
        <f t="shared" si="0"/>
        <v>H803 Vervoer dagbesteding/dagbehandeling V&amp;V H803</v>
      </c>
      <c r="I7" s="28">
        <v>6.98</v>
      </c>
      <c r="J7" t="s">
        <v>434</v>
      </c>
      <c r="K7" t="s">
        <v>434</v>
      </c>
      <c r="L7">
        <v>6.98</v>
      </c>
      <c r="N7" s="1">
        <f t="shared" si="1"/>
        <v>2547.7000000000003</v>
      </c>
    </row>
    <row r="8" spans="1:14" ht="15" x14ac:dyDescent="0.25">
      <c r="A8" s="28" t="s">
        <v>1297</v>
      </c>
      <c r="B8" t="s">
        <v>472</v>
      </c>
      <c r="C8">
        <v>2015</v>
      </c>
      <c r="D8" s="28" t="s">
        <v>1297</v>
      </c>
      <c r="E8" t="s">
        <v>6</v>
      </c>
      <c r="F8" t="s">
        <v>472</v>
      </c>
      <c r="G8" t="s">
        <v>471</v>
      </c>
      <c r="H8" s="28" t="str">
        <f t="shared" si="0"/>
        <v>H928 Kapitaallasten dagbesteding ZG H928</v>
      </c>
      <c r="I8" s="28">
        <v>7.01</v>
      </c>
      <c r="J8" t="s">
        <v>471</v>
      </c>
      <c r="K8" t="s">
        <v>471</v>
      </c>
      <c r="L8">
        <v>7.01</v>
      </c>
      <c r="N8" s="1">
        <f t="shared" si="1"/>
        <v>2558.65</v>
      </c>
    </row>
    <row r="9" spans="1:14" ht="15" x14ac:dyDescent="0.25">
      <c r="A9" s="28" t="s">
        <v>1297</v>
      </c>
      <c r="B9" t="s">
        <v>413</v>
      </c>
      <c r="C9">
        <v>2015</v>
      </c>
      <c r="D9" s="28" t="s">
        <v>1297</v>
      </c>
      <c r="E9" t="s">
        <v>6</v>
      </c>
      <c r="F9" t="s">
        <v>413</v>
      </c>
      <c r="G9" t="s">
        <v>412</v>
      </c>
      <c r="H9" s="28" t="str">
        <f t="shared" si="0"/>
        <v>H894 Vervoer dagbesteding/dagbehandeling GHZ extramuraal H894</v>
      </c>
      <c r="I9" s="28">
        <v>8.24</v>
      </c>
      <c r="J9" t="s">
        <v>412</v>
      </c>
      <c r="K9" t="s">
        <v>412</v>
      </c>
      <c r="L9">
        <v>8.24</v>
      </c>
      <c r="N9" s="1">
        <f t="shared" si="1"/>
        <v>3007.6</v>
      </c>
    </row>
    <row r="10" spans="1:14" ht="15" x14ac:dyDescent="0.25">
      <c r="A10" s="28" t="s">
        <v>1297</v>
      </c>
      <c r="B10" t="s">
        <v>478</v>
      </c>
      <c r="C10">
        <v>2015</v>
      </c>
      <c r="D10" s="28" t="s">
        <v>1297</v>
      </c>
      <c r="E10" t="s">
        <v>6</v>
      </c>
      <c r="F10" t="s">
        <v>478</v>
      </c>
      <c r="G10" t="s">
        <v>477</v>
      </c>
      <c r="H10" s="28" t="str">
        <f t="shared" si="0"/>
        <v>H918 Kapitaallasten dagbesteding LG H918</v>
      </c>
      <c r="I10" s="28">
        <v>10.77</v>
      </c>
      <c r="J10" t="s">
        <v>477</v>
      </c>
      <c r="K10" t="s">
        <v>477</v>
      </c>
      <c r="L10">
        <v>10.77</v>
      </c>
      <c r="N10" s="1">
        <f t="shared" si="1"/>
        <v>3931.0499999999997</v>
      </c>
    </row>
    <row r="11" spans="1:14" ht="15" x14ac:dyDescent="0.25">
      <c r="A11" s="28" t="s">
        <v>1297</v>
      </c>
      <c r="B11" t="s">
        <v>13</v>
      </c>
      <c r="C11">
        <v>2015</v>
      </c>
      <c r="D11" s="28" t="s">
        <v>1297</v>
      </c>
      <c r="E11" t="s">
        <v>6</v>
      </c>
      <c r="F11" t="s">
        <v>13</v>
      </c>
      <c r="G11" t="s">
        <v>12</v>
      </c>
      <c r="H11" s="28" t="str">
        <f t="shared" si="0"/>
        <v>F125 Dagactiviteit GGZ-LZA F125</v>
      </c>
      <c r="I11" s="28">
        <v>11.06</v>
      </c>
      <c r="J11" t="s">
        <v>12</v>
      </c>
      <c r="K11" t="s">
        <v>12</v>
      </c>
      <c r="L11">
        <v>11.06</v>
      </c>
      <c r="N11" s="1">
        <f t="shared" si="1"/>
        <v>4036.9</v>
      </c>
    </row>
    <row r="12" spans="1:14" ht="15" x14ac:dyDescent="0.25">
      <c r="A12" s="28" t="s">
        <v>1297</v>
      </c>
      <c r="B12" t="s">
        <v>429</v>
      </c>
      <c r="C12">
        <v>2015</v>
      </c>
      <c r="D12" s="28" t="s">
        <v>1297</v>
      </c>
      <c r="E12" t="s">
        <v>6</v>
      </c>
      <c r="F12" t="s">
        <v>429</v>
      </c>
      <c r="G12" t="s">
        <v>428</v>
      </c>
      <c r="H12" s="28" t="str">
        <f t="shared" si="0"/>
        <v>H895 Vervoer dagbesteding/dagbehandeling GHZ rolstoel extram. H895</v>
      </c>
      <c r="I12" s="28">
        <v>19.899999999999999</v>
      </c>
      <c r="J12" t="s">
        <v>428</v>
      </c>
      <c r="K12" t="s">
        <v>428</v>
      </c>
      <c r="L12">
        <v>19.899999999999999</v>
      </c>
      <c r="N12" s="1">
        <f t="shared" si="1"/>
        <v>7263.4999999999991</v>
      </c>
    </row>
    <row r="13" spans="1:14" ht="15" x14ac:dyDescent="0.25">
      <c r="A13" s="28" t="s">
        <v>1297</v>
      </c>
      <c r="B13" t="s">
        <v>17</v>
      </c>
      <c r="C13">
        <v>2015</v>
      </c>
      <c r="D13" s="28" t="s">
        <v>1297</v>
      </c>
      <c r="E13" t="s">
        <v>6</v>
      </c>
      <c r="F13" t="s">
        <v>17</v>
      </c>
      <c r="G13" t="s">
        <v>16</v>
      </c>
      <c r="H13" s="28" t="str">
        <f t="shared" si="0"/>
        <v>H896 Vervoer dagbesteding/dagbeh. kind extramuraal H896</v>
      </c>
      <c r="I13" s="28">
        <v>19.899999999999999</v>
      </c>
      <c r="J13" t="s">
        <v>16</v>
      </c>
      <c r="K13" t="s">
        <v>16</v>
      </c>
      <c r="L13">
        <v>19.899999999999999</v>
      </c>
      <c r="N13" s="1">
        <f t="shared" si="1"/>
        <v>7263.4999999999991</v>
      </c>
    </row>
    <row r="14" spans="1:14" ht="15" x14ac:dyDescent="0.25">
      <c r="A14" s="28" t="s">
        <v>1297</v>
      </c>
      <c r="B14" t="s">
        <v>453</v>
      </c>
      <c r="C14">
        <v>2015</v>
      </c>
      <c r="D14" s="28" t="s">
        <v>1297</v>
      </c>
      <c r="E14" t="s">
        <v>6</v>
      </c>
      <c r="F14" t="s">
        <v>453</v>
      </c>
      <c r="G14" t="s">
        <v>452</v>
      </c>
      <c r="H14" s="28" t="str">
        <f t="shared" si="0"/>
        <v>H975 Vervoer dagbesteding GHZ rolstoel intram. H975</v>
      </c>
      <c r="I14" s="28">
        <v>19.899999999999999</v>
      </c>
      <c r="J14" t="s">
        <v>452</v>
      </c>
      <c r="K14" t="s">
        <v>452</v>
      </c>
      <c r="L14">
        <v>19.899999999999999</v>
      </c>
      <c r="N14" s="1">
        <f t="shared" si="1"/>
        <v>7263.4999999999991</v>
      </c>
    </row>
    <row r="15" spans="1:14" ht="15" x14ac:dyDescent="0.25">
      <c r="A15" s="28" t="s">
        <v>1297</v>
      </c>
      <c r="B15" t="s">
        <v>443</v>
      </c>
      <c r="C15">
        <v>2015</v>
      </c>
      <c r="D15" s="28" t="s">
        <v>1297</v>
      </c>
      <c r="E15" t="s">
        <v>6</v>
      </c>
      <c r="F15" t="s">
        <v>443</v>
      </c>
      <c r="G15" t="s">
        <v>442</v>
      </c>
      <c r="H15" s="28" t="str">
        <f t="shared" si="0"/>
        <v>H976 Vervoer dagbesteding kind intramuraal H976</v>
      </c>
      <c r="I15" s="28">
        <v>19.899999999999999</v>
      </c>
      <c r="J15" t="s">
        <v>442</v>
      </c>
      <c r="K15" t="s">
        <v>442</v>
      </c>
      <c r="L15">
        <v>19.899999999999999</v>
      </c>
      <c r="N15" s="1">
        <f t="shared" si="1"/>
        <v>7263.4999999999991</v>
      </c>
    </row>
    <row r="16" spans="1:14" ht="15" x14ac:dyDescent="0.25">
      <c r="A16" s="28" t="s">
        <v>1297</v>
      </c>
      <c r="B16" t="s">
        <v>451</v>
      </c>
      <c r="C16">
        <v>2015</v>
      </c>
      <c r="D16" s="28" t="s">
        <v>1297</v>
      </c>
      <c r="E16" t="s">
        <v>6</v>
      </c>
      <c r="F16" t="s">
        <v>451</v>
      </c>
      <c r="G16" t="s">
        <v>450</v>
      </c>
      <c r="H16" s="28" t="str">
        <f t="shared" si="0"/>
        <v>H940 Toeslag kind dagbesteding VG licht H940</v>
      </c>
      <c r="I16" s="28">
        <v>20.83</v>
      </c>
      <c r="J16" t="s">
        <v>450</v>
      </c>
      <c r="K16" t="s">
        <v>450</v>
      </c>
      <c r="L16">
        <v>20.83</v>
      </c>
      <c r="N16" s="1">
        <f t="shared" si="1"/>
        <v>7602.95</v>
      </c>
    </row>
    <row r="17" spans="1:14" ht="15" x14ac:dyDescent="0.25">
      <c r="A17" s="28" t="s">
        <v>1297</v>
      </c>
      <c r="B17" t="s">
        <v>474</v>
      </c>
      <c r="C17">
        <v>2015</v>
      </c>
      <c r="D17" s="28" t="s">
        <v>1297</v>
      </c>
      <c r="E17" t="s">
        <v>6</v>
      </c>
      <c r="F17" t="s">
        <v>474</v>
      </c>
      <c r="G17" t="s">
        <v>473</v>
      </c>
      <c r="H17" s="28" t="str">
        <f t="shared" si="0"/>
        <v>H950 Toeslag kind dagbesteding LG licht H950</v>
      </c>
      <c r="I17" s="28">
        <v>20.83</v>
      </c>
      <c r="J17" t="s">
        <v>473</v>
      </c>
      <c r="K17" t="s">
        <v>473</v>
      </c>
      <c r="L17">
        <v>20.83</v>
      </c>
      <c r="N17" s="1">
        <f t="shared" si="1"/>
        <v>7602.95</v>
      </c>
    </row>
    <row r="18" spans="1:14" ht="15" x14ac:dyDescent="0.25">
      <c r="A18" s="28" t="s">
        <v>1297</v>
      </c>
      <c r="B18" t="s">
        <v>488</v>
      </c>
      <c r="C18">
        <v>2015</v>
      </c>
      <c r="D18" s="28" t="s">
        <v>1297</v>
      </c>
      <c r="E18" t="s">
        <v>6</v>
      </c>
      <c r="F18" t="s">
        <v>488</v>
      </c>
      <c r="G18" t="s">
        <v>487</v>
      </c>
      <c r="H18" s="28" t="str">
        <f t="shared" si="0"/>
        <v>H960 Toeslag kind dagbesteding ZG auditief licht H960</v>
      </c>
      <c r="I18" s="28">
        <v>20.83</v>
      </c>
      <c r="J18" t="s">
        <v>487</v>
      </c>
      <c r="K18" t="s">
        <v>487</v>
      </c>
      <c r="L18">
        <v>20.83</v>
      </c>
      <c r="N18" s="1">
        <f t="shared" si="1"/>
        <v>7602.95</v>
      </c>
    </row>
    <row r="19" spans="1:14" ht="15" x14ac:dyDescent="0.25">
      <c r="A19" s="28" t="s">
        <v>1297</v>
      </c>
      <c r="B19" t="s">
        <v>514</v>
      </c>
      <c r="C19">
        <v>2015</v>
      </c>
      <c r="D19" s="28" t="s">
        <v>1297</v>
      </c>
      <c r="E19" t="s">
        <v>6</v>
      </c>
      <c r="F19" t="s">
        <v>514</v>
      </c>
      <c r="G19" t="s">
        <v>513</v>
      </c>
      <c r="H19" s="28" t="str">
        <f t="shared" si="0"/>
        <v>H970 Toeslag kind dagbesteding ZG visueel licht H970</v>
      </c>
      <c r="I19" s="28">
        <v>20.83</v>
      </c>
      <c r="J19" t="s">
        <v>513</v>
      </c>
      <c r="K19" t="s">
        <v>513</v>
      </c>
      <c r="L19">
        <v>20.83</v>
      </c>
      <c r="N19" s="1">
        <f t="shared" si="1"/>
        <v>7602.95</v>
      </c>
    </row>
    <row r="20" spans="1:14" ht="15" x14ac:dyDescent="0.25">
      <c r="A20" s="28" t="s">
        <v>1297</v>
      </c>
      <c r="B20" t="s">
        <v>449</v>
      </c>
      <c r="C20">
        <v>2015</v>
      </c>
      <c r="D20" s="28" t="s">
        <v>1297</v>
      </c>
      <c r="E20" t="s">
        <v>6</v>
      </c>
      <c r="F20" t="s">
        <v>449</v>
      </c>
      <c r="G20" t="s">
        <v>448</v>
      </c>
      <c r="H20" s="28" t="str">
        <f t="shared" si="0"/>
        <v>H941 Toeslag kind dagbesteding VG midden H941</v>
      </c>
      <c r="I20" s="28">
        <v>25.51</v>
      </c>
      <c r="J20" t="s">
        <v>448</v>
      </c>
      <c r="K20" t="s">
        <v>448</v>
      </c>
      <c r="L20">
        <v>25.51</v>
      </c>
      <c r="N20" s="1">
        <f t="shared" si="1"/>
        <v>9311.1500000000015</v>
      </c>
    </row>
    <row r="21" spans="1:14" ht="15" x14ac:dyDescent="0.25">
      <c r="A21" s="28" t="s">
        <v>1297</v>
      </c>
      <c r="B21" t="s">
        <v>455</v>
      </c>
      <c r="C21">
        <v>2015</v>
      </c>
      <c r="D21" s="28" t="s">
        <v>1297</v>
      </c>
      <c r="E21" t="s">
        <v>6</v>
      </c>
      <c r="F21" t="s">
        <v>455</v>
      </c>
      <c r="G21" t="s">
        <v>454</v>
      </c>
      <c r="H21" s="28" t="str">
        <f t="shared" si="0"/>
        <v>H951 Toeslag kind dagbesteding LG midden H951</v>
      </c>
      <c r="I21" s="28">
        <v>25.51</v>
      </c>
      <c r="J21" t="s">
        <v>454</v>
      </c>
      <c r="K21" t="s">
        <v>454</v>
      </c>
      <c r="L21">
        <v>25.51</v>
      </c>
      <c r="N21" s="1">
        <f t="shared" si="1"/>
        <v>9311.1500000000015</v>
      </c>
    </row>
    <row r="22" spans="1:14" ht="15" x14ac:dyDescent="0.25">
      <c r="A22" s="28" t="s">
        <v>1297</v>
      </c>
      <c r="B22" t="s">
        <v>508</v>
      </c>
      <c r="C22">
        <v>2015</v>
      </c>
      <c r="D22" s="28" t="s">
        <v>1297</v>
      </c>
      <c r="E22" t="s">
        <v>6</v>
      </c>
      <c r="F22" t="s">
        <v>508</v>
      </c>
      <c r="G22" t="s">
        <v>507</v>
      </c>
      <c r="H22" s="28" t="str">
        <f t="shared" si="0"/>
        <v>H961 Toeslag kind dagbesteding ZG auditief midden H961</v>
      </c>
      <c r="I22" s="28">
        <v>25.51</v>
      </c>
      <c r="J22" t="s">
        <v>507</v>
      </c>
      <c r="K22" t="s">
        <v>507</v>
      </c>
      <c r="L22">
        <v>25.51</v>
      </c>
      <c r="N22" s="1">
        <f t="shared" si="1"/>
        <v>9311.1500000000015</v>
      </c>
    </row>
    <row r="23" spans="1:14" ht="15" x14ac:dyDescent="0.25">
      <c r="A23" s="28" t="s">
        <v>1297</v>
      </c>
      <c r="B23" t="s">
        <v>552</v>
      </c>
      <c r="C23">
        <v>2015</v>
      </c>
      <c r="D23" s="28" t="s">
        <v>1297</v>
      </c>
      <c r="E23" t="s">
        <v>6</v>
      </c>
      <c r="F23" t="s">
        <v>552</v>
      </c>
      <c r="G23" t="s">
        <v>551</v>
      </c>
      <c r="H23" s="28" t="str">
        <f t="shared" si="0"/>
        <v>H971 Toeslag kind dagbesteding ZG visueel midden H971</v>
      </c>
      <c r="I23" s="28">
        <v>25.51</v>
      </c>
      <c r="J23" t="s">
        <v>551</v>
      </c>
      <c r="K23" t="s">
        <v>551</v>
      </c>
      <c r="L23">
        <v>25.51</v>
      </c>
      <c r="N23" s="1">
        <f t="shared" si="1"/>
        <v>9311.1500000000015</v>
      </c>
    </row>
    <row r="24" spans="1:14" ht="15" x14ac:dyDescent="0.25">
      <c r="A24" s="28" t="s">
        <v>1297</v>
      </c>
      <c r="B24" t="s">
        <v>476</v>
      </c>
      <c r="C24">
        <v>2015</v>
      </c>
      <c r="D24" s="28" t="s">
        <v>1297</v>
      </c>
      <c r="E24" t="s">
        <v>6</v>
      </c>
      <c r="F24" t="s">
        <v>476</v>
      </c>
      <c r="G24" t="s">
        <v>475</v>
      </c>
      <c r="H24" s="28" t="str">
        <f t="shared" si="0"/>
        <v>H930 Dagbesteding ZG vis licht ( ZG vis2, ZG vis3) H930</v>
      </c>
      <c r="I24" s="28">
        <v>26.69</v>
      </c>
      <c r="J24" t="s">
        <v>475</v>
      </c>
      <c r="K24" t="s">
        <v>475</v>
      </c>
      <c r="L24">
        <v>26.69</v>
      </c>
      <c r="N24" s="1">
        <f t="shared" si="1"/>
        <v>9741.85</v>
      </c>
    </row>
    <row r="25" spans="1:14" ht="15" x14ac:dyDescent="0.25">
      <c r="A25" s="28" t="s">
        <v>1298</v>
      </c>
      <c r="B25" t="s">
        <v>425</v>
      </c>
      <c r="C25">
        <v>2015</v>
      </c>
      <c r="D25" s="28" t="s">
        <v>1298</v>
      </c>
      <c r="E25" t="s">
        <v>394</v>
      </c>
      <c r="F25" t="s">
        <v>425</v>
      </c>
      <c r="G25" t="s">
        <v>424</v>
      </c>
      <c r="H25" s="28" t="str">
        <f t="shared" si="0"/>
        <v>H321 Reiskosten prestaties behandeling (H325-H333) H321</v>
      </c>
      <c r="I25" s="28">
        <v>27.02</v>
      </c>
      <c r="J25" t="s">
        <v>424</v>
      </c>
      <c r="K25" t="s">
        <v>424</v>
      </c>
      <c r="L25">
        <v>27.02</v>
      </c>
      <c r="N25" s="1">
        <f t="shared" si="1"/>
        <v>9862.2999999999993</v>
      </c>
    </row>
    <row r="26" spans="1:14" ht="15" x14ac:dyDescent="0.25">
      <c r="A26" s="28" t="s">
        <v>1297</v>
      </c>
      <c r="B26" t="s">
        <v>9</v>
      </c>
      <c r="C26">
        <v>2015</v>
      </c>
      <c r="D26" s="28" t="s">
        <v>1297</v>
      </c>
      <c r="E26" t="s">
        <v>6</v>
      </c>
      <c r="F26" t="s">
        <v>9</v>
      </c>
      <c r="G26" t="s">
        <v>8</v>
      </c>
      <c r="H26" s="28" t="str">
        <f t="shared" si="0"/>
        <v>H900 Dagbesteding VG-licht (VG1-VG4) H900</v>
      </c>
      <c r="I26" s="28">
        <v>27.6</v>
      </c>
      <c r="J26" t="s">
        <v>8</v>
      </c>
      <c r="K26" t="s">
        <v>764</v>
      </c>
      <c r="L26">
        <v>27.6</v>
      </c>
      <c r="N26" s="1">
        <f t="shared" si="1"/>
        <v>10074</v>
      </c>
    </row>
    <row r="27" spans="1:14" x14ac:dyDescent="0.3">
      <c r="A27" s="28" t="s">
        <v>1297</v>
      </c>
      <c r="B27" t="s">
        <v>469</v>
      </c>
      <c r="C27">
        <v>2015</v>
      </c>
      <c r="D27" s="28" t="s">
        <v>1297</v>
      </c>
      <c r="E27" t="s">
        <v>6</v>
      </c>
      <c r="F27" t="s">
        <v>469</v>
      </c>
      <c r="G27" t="s">
        <v>468</v>
      </c>
      <c r="H27" s="28" t="str">
        <f t="shared" si="0"/>
        <v>H931 Dagbesteding ZG vis midden (ZG vis1) H931</v>
      </c>
      <c r="I27" s="28">
        <v>32.01</v>
      </c>
      <c r="J27" t="s">
        <v>468</v>
      </c>
      <c r="K27" t="s">
        <v>468</v>
      </c>
      <c r="L27">
        <v>32.01</v>
      </c>
      <c r="N27" s="1">
        <f t="shared" si="1"/>
        <v>11683.65</v>
      </c>
    </row>
    <row r="28" spans="1:14" x14ac:dyDescent="0.3">
      <c r="A28" s="28" t="s">
        <v>1297</v>
      </c>
      <c r="B28" t="s">
        <v>447</v>
      </c>
      <c r="C28">
        <v>2015</v>
      </c>
      <c r="D28" s="28" t="s">
        <v>1297</v>
      </c>
      <c r="E28" t="s">
        <v>6</v>
      </c>
      <c r="F28" t="s">
        <v>447</v>
      </c>
      <c r="G28" t="s">
        <v>930</v>
      </c>
      <c r="H28" s="28" t="str">
        <f t="shared" si="0"/>
        <v>H910 Dagbesteding LG-licht (7LG) H910</v>
      </c>
      <c r="I28" s="28">
        <v>33.47</v>
      </c>
      <c r="J28" t="s">
        <v>930</v>
      </c>
      <c r="K28" t="s">
        <v>930</v>
      </c>
      <c r="L28">
        <v>33.47</v>
      </c>
      <c r="N28" s="1">
        <f t="shared" si="1"/>
        <v>12216.55</v>
      </c>
    </row>
    <row r="29" spans="1:14" x14ac:dyDescent="0.3">
      <c r="A29" s="28" t="s">
        <v>1297</v>
      </c>
      <c r="B29" t="s">
        <v>457</v>
      </c>
      <c r="C29">
        <v>2015</v>
      </c>
      <c r="D29" s="28" t="s">
        <v>1297</v>
      </c>
      <c r="E29" t="s">
        <v>6</v>
      </c>
      <c r="F29" t="s">
        <v>457</v>
      </c>
      <c r="G29" t="s">
        <v>456</v>
      </c>
      <c r="H29" s="28" t="str">
        <f t="shared" si="0"/>
        <v>H932 Dagbesteding ZG vis zwaar (ZG vis4, ZG vis5) H932</v>
      </c>
      <c r="I29" s="28">
        <v>36.03</v>
      </c>
      <c r="J29" t="s">
        <v>456</v>
      </c>
      <c r="K29" t="s">
        <v>456</v>
      </c>
      <c r="L29">
        <v>36.03</v>
      </c>
      <c r="N29" s="1">
        <f t="shared" si="1"/>
        <v>13150.95</v>
      </c>
    </row>
    <row r="30" spans="1:14" x14ac:dyDescent="0.3">
      <c r="A30" s="28" t="s">
        <v>1297</v>
      </c>
      <c r="B30" t="s">
        <v>7</v>
      </c>
      <c r="C30">
        <v>2015</v>
      </c>
      <c r="D30" s="28" t="s">
        <v>1297</v>
      </c>
      <c r="E30" t="s">
        <v>6</v>
      </c>
      <c r="F30" t="s">
        <v>7</v>
      </c>
      <c r="G30" t="s">
        <v>5</v>
      </c>
      <c r="H30" s="28" t="str">
        <f t="shared" si="0"/>
        <v>H531 Dagactiviteit basis H531</v>
      </c>
      <c r="I30" s="28">
        <v>36.340000000000003</v>
      </c>
      <c r="J30" t="s">
        <v>5</v>
      </c>
      <c r="K30" t="s">
        <v>5</v>
      </c>
      <c r="L30">
        <v>36.340000000000003</v>
      </c>
      <c r="N30" s="1">
        <f t="shared" si="1"/>
        <v>13264.1</v>
      </c>
    </row>
    <row r="31" spans="1:14" x14ac:dyDescent="0.3">
      <c r="A31" s="28" t="s">
        <v>1297</v>
      </c>
      <c r="B31" t="s">
        <v>15</v>
      </c>
      <c r="C31">
        <v>2015</v>
      </c>
      <c r="D31" s="28" t="s">
        <v>1297</v>
      </c>
      <c r="E31" t="s">
        <v>6</v>
      </c>
      <c r="F31" t="s">
        <v>15</v>
      </c>
      <c r="G31" t="s">
        <v>14</v>
      </c>
      <c r="H31" s="28" t="str">
        <f t="shared" si="0"/>
        <v>H901 Dagbesteding VG-midden (VG5, VG6) H901</v>
      </c>
      <c r="I31" s="28">
        <v>37.770000000000003</v>
      </c>
      <c r="J31" t="s">
        <v>14</v>
      </c>
      <c r="K31" t="s">
        <v>781</v>
      </c>
      <c r="L31">
        <v>37.770000000000003</v>
      </c>
      <c r="N31" s="1">
        <f t="shared" si="1"/>
        <v>13786.050000000001</v>
      </c>
    </row>
    <row r="32" spans="1:14" x14ac:dyDescent="0.3">
      <c r="A32" s="28" t="s">
        <v>1297</v>
      </c>
      <c r="B32" t="s">
        <v>482</v>
      </c>
      <c r="C32">
        <v>2015</v>
      </c>
      <c r="D32" s="28" t="s">
        <v>1297</v>
      </c>
      <c r="E32" t="s">
        <v>6</v>
      </c>
      <c r="F32" t="s">
        <v>482</v>
      </c>
      <c r="G32" t="s">
        <v>481</v>
      </c>
      <c r="H32" s="28" t="str">
        <f t="shared" si="0"/>
        <v>H943 Toeslag kind dagbesteding VG zwaar H943</v>
      </c>
      <c r="I32" s="28">
        <v>38.19</v>
      </c>
      <c r="J32" t="s">
        <v>481</v>
      </c>
      <c r="K32" t="s">
        <v>481</v>
      </c>
      <c r="L32">
        <v>38.19</v>
      </c>
      <c r="N32" s="1">
        <f t="shared" si="1"/>
        <v>13939.349999999999</v>
      </c>
    </row>
    <row r="33" spans="1:14" x14ac:dyDescent="0.3">
      <c r="A33" s="28" t="s">
        <v>1297</v>
      </c>
      <c r="B33" t="s">
        <v>465</v>
      </c>
      <c r="C33">
        <v>2015</v>
      </c>
      <c r="D33" s="28" t="s">
        <v>1297</v>
      </c>
      <c r="E33" t="s">
        <v>6</v>
      </c>
      <c r="F33" t="s">
        <v>465</v>
      </c>
      <c r="G33" t="s">
        <v>464</v>
      </c>
      <c r="H33" s="28" t="str">
        <f t="shared" si="0"/>
        <v>H952 Toeslag kind dagbesteding LG zwaar H952</v>
      </c>
      <c r="I33" s="28">
        <v>38.19</v>
      </c>
      <c r="J33" t="s">
        <v>464</v>
      </c>
      <c r="K33" t="s">
        <v>464</v>
      </c>
      <c r="L33">
        <v>38.19</v>
      </c>
      <c r="N33" s="1">
        <f t="shared" si="1"/>
        <v>13939.349999999999</v>
      </c>
    </row>
    <row r="34" spans="1:14" x14ac:dyDescent="0.3">
      <c r="A34" s="28" t="s">
        <v>1297</v>
      </c>
      <c r="B34" t="s">
        <v>544</v>
      </c>
      <c r="C34">
        <v>2015</v>
      </c>
      <c r="D34" s="28" t="s">
        <v>1297</v>
      </c>
      <c r="E34" t="s">
        <v>6</v>
      </c>
      <c r="F34" t="s">
        <v>544</v>
      </c>
      <c r="G34" t="s">
        <v>543</v>
      </c>
      <c r="H34" s="28" t="str">
        <f t="shared" ref="H34:H65" si="2">CONCATENATE(F34," ",G34)</f>
        <v>H962 Toeslag kind dagbesteding ZG auditief zwaar H962</v>
      </c>
      <c r="I34" s="28">
        <v>38.19</v>
      </c>
      <c r="J34" t="s">
        <v>543</v>
      </c>
      <c r="K34" t="s">
        <v>543</v>
      </c>
      <c r="L34">
        <v>38.19</v>
      </c>
      <c r="N34" s="1">
        <f t="shared" ref="N34:N65" si="3">SUM(L34:M34)*365</f>
        <v>13939.349999999999</v>
      </c>
    </row>
    <row r="35" spans="1:14" x14ac:dyDescent="0.3">
      <c r="A35" s="28" t="s">
        <v>1297</v>
      </c>
      <c r="B35" t="s">
        <v>558</v>
      </c>
      <c r="C35">
        <v>2015</v>
      </c>
      <c r="D35" s="28" t="s">
        <v>1297</v>
      </c>
      <c r="E35" t="s">
        <v>6</v>
      </c>
      <c r="F35" t="s">
        <v>558</v>
      </c>
      <c r="G35" t="s">
        <v>557</v>
      </c>
      <c r="H35" s="28" t="str">
        <f t="shared" si="2"/>
        <v>H972 Toeslag kind dagbesteding ZG visueel zwaar H972</v>
      </c>
      <c r="I35" s="28">
        <v>38.19</v>
      </c>
      <c r="J35" t="s">
        <v>557</v>
      </c>
      <c r="K35" t="s">
        <v>557</v>
      </c>
      <c r="L35">
        <v>38.19</v>
      </c>
      <c r="N35" s="1">
        <f t="shared" si="3"/>
        <v>13939.349999999999</v>
      </c>
    </row>
    <row r="36" spans="1:14" x14ac:dyDescent="0.3">
      <c r="A36" s="28" t="s">
        <v>1297</v>
      </c>
      <c r="B36" t="s">
        <v>467</v>
      </c>
      <c r="C36">
        <v>2015</v>
      </c>
      <c r="D36" s="28" t="s">
        <v>1297</v>
      </c>
      <c r="E36" t="s">
        <v>6</v>
      </c>
      <c r="F36" t="s">
        <v>467</v>
      </c>
      <c r="G36" t="s">
        <v>466</v>
      </c>
      <c r="H36" s="28" t="str">
        <f t="shared" si="2"/>
        <v>H920 Dagbesteding ZG aud licht (ZG aud1, ZG aud4) H920</v>
      </c>
      <c r="I36" s="28">
        <v>38.409999999999997</v>
      </c>
      <c r="J36" t="s">
        <v>466</v>
      </c>
      <c r="K36" t="s">
        <v>466</v>
      </c>
      <c r="L36">
        <v>38.409999999999997</v>
      </c>
      <c r="N36" s="1">
        <f t="shared" si="3"/>
        <v>14019.65</v>
      </c>
    </row>
    <row r="37" spans="1:14" x14ac:dyDescent="0.3">
      <c r="A37" s="28" t="s">
        <v>1297</v>
      </c>
      <c r="B37" t="s">
        <v>512</v>
      </c>
      <c r="C37">
        <v>2015</v>
      </c>
      <c r="D37" s="28" t="s">
        <v>1297</v>
      </c>
      <c r="E37" t="s">
        <v>6</v>
      </c>
      <c r="F37" t="s">
        <v>512</v>
      </c>
      <c r="G37" t="s">
        <v>511</v>
      </c>
      <c r="H37" s="28" t="str">
        <f t="shared" si="2"/>
        <v>H871 Dagactiviteit ZG vis licht H871</v>
      </c>
      <c r="I37" s="28">
        <v>38.520000000000003</v>
      </c>
      <c r="J37" t="s">
        <v>511</v>
      </c>
      <c r="K37" t="s">
        <v>511</v>
      </c>
      <c r="L37">
        <v>38.520000000000003</v>
      </c>
      <c r="N37" s="1">
        <f t="shared" si="3"/>
        <v>14059.800000000001</v>
      </c>
    </row>
    <row r="38" spans="1:14" x14ac:dyDescent="0.3">
      <c r="A38" s="28" t="s">
        <v>1297</v>
      </c>
      <c r="B38" t="s">
        <v>500</v>
      </c>
      <c r="C38">
        <v>2015</v>
      </c>
      <c r="D38" s="28" t="s">
        <v>1297</v>
      </c>
      <c r="E38" t="s">
        <v>6</v>
      </c>
      <c r="F38" t="s">
        <v>500</v>
      </c>
      <c r="G38" t="s">
        <v>499</v>
      </c>
      <c r="H38" s="28" t="str">
        <f t="shared" si="2"/>
        <v>H811 Dagactiviteit VG licht H811</v>
      </c>
      <c r="I38" s="28">
        <v>38.700000000000003</v>
      </c>
      <c r="J38" t="s">
        <v>499</v>
      </c>
      <c r="K38" t="s">
        <v>499</v>
      </c>
      <c r="L38">
        <v>38.700000000000003</v>
      </c>
      <c r="N38" s="1">
        <f t="shared" si="3"/>
        <v>14125.500000000002</v>
      </c>
    </row>
    <row r="39" spans="1:14" x14ac:dyDescent="0.3">
      <c r="A39" s="28" t="s">
        <v>1297</v>
      </c>
      <c r="B39" t="s">
        <v>470</v>
      </c>
      <c r="C39">
        <v>2015</v>
      </c>
      <c r="D39" s="28" t="s">
        <v>1297</v>
      </c>
      <c r="E39" t="s">
        <v>6</v>
      </c>
      <c r="F39" t="s">
        <v>470</v>
      </c>
      <c r="G39" t="s">
        <v>905</v>
      </c>
      <c r="H39" s="28" t="str">
        <f t="shared" si="2"/>
        <v>H911 Dagbesteding LG-midden (2LG,4LG,6LG) H911</v>
      </c>
      <c r="I39" s="28">
        <v>39.869999999999997</v>
      </c>
      <c r="J39" t="s">
        <v>905</v>
      </c>
      <c r="K39" t="s">
        <v>905</v>
      </c>
      <c r="L39">
        <v>39.869999999999997</v>
      </c>
      <c r="N39" s="1">
        <f t="shared" si="3"/>
        <v>14552.55</v>
      </c>
    </row>
    <row r="40" spans="1:14" x14ac:dyDescent="0.3">
      <c r="A40" s="28" t="s">
        <v>1297</v>
      </c>
      <c r="B40" t="s">
        <v>444</v>
      </c>
      <c r="C40">
        <v>2015</v>
      </c>
      <c r="D40" s="28" t="s">
        <v>1297</v>
      </c>
      <c r="E40" t="s">
        <v>6</v>
      </c>
      <c r="F40" t="s">
        <v>444</v>
      </c>
      <c r="G40" t="s">
        <v>880</v>
      </c>
      <c r="H40" s="28" t="str">
        <f t="shared" si="2"/>
        <v>H912 Dagbesteding LG-zwaar (1LG,3LG,5LG) H912</v>
      </c>
      <c r="I40" s="28">
        <v>43.78</v>
      </c>
      <c r="J40" t="s">
        <v>880</v>
      </c>
      <c r="K40" t="s">
        <v>880</v>
      </c>
      <c r="L40">
        <v>43.78</v>
      </c>
      <c r="N40" s="1">
        <f t="shared" si="3"/>
        <v>15979.7</v>
      </c>
    </row>
    <row r="41" spans="1:14" x14ac:dyDescent="0.3">
      <c r="A41" s="28" t="s">
        <v>1297</v>
      </c>
      <c r="B41" t="s">
        <v>534</v>
      </c>
      <c r="C41">
        <v>2015</v>
      </c>
      <c r="D41" s="28" t="s">
        <v>1297</v>
      </c>
      <c r="E41" t="s">
        <v>6</v>
      </c>
      <c r="F41" t="s">
        <v>534</v>
      </c>
      <c r="G41" t="s">
        <v>533</v>
      </c>
      <c r="H41" s="28" t="str">
        <f t="shared" si="2"/>
        <v>H872 Dagactiviteit ZG vis midden H872</v>
      </c>
      <c r="I41" s="28">
        <v>43.91</v>
      </c>
      <c r="J41" t="s">
        <v>533</v>
      </c>
      <c r="K41" t="s">
        <v>533</v>
      </c>
      <c r="L41">
        <v>43.91</v>
      </c>
      <c r="N41" s="1">
        <f t="shared" si="3"/>
        <v>16027.15</v>
      </c>
    </row>
    <row r="42" spans="1:14" x14ac:dyDescent="0.3">
      <c r="A42" s="28" t="s">
        <v>1253</v>
      </c>
      <c r="B42" t="s">
        <v>548</v>
      </c>
      <c r="C42">
        <v>2015</v>
      </c>
      <c r="D42" s="28" t="s">
        <v>1253</v>
      </c>
      <c r="E42" t="s">
        <v>18</v>
      </c>
      <c r="F42" t="s">
        <v>548</v>
      </c>
      <c r="G42" t="s">
        <v>547</v>
      </c>
      <c r="H42" s="28" t="str">
        <f t="shared" si="2"/>
        <v>H132 Nachtverzorging H132</v>
      </c>
      <c r="I42" s="28">
        <v>47.76</v>
      </c>
      <c r="J42" t="s">
        <v>547</v>
      </c>
      <c r="K42" t="s">
        <v>547</v>
      </c>
      <c r="L42">
        <v>47.76</v>
      </c>
      <c r="N42" s="1">
        <f t="shared" si="3"/>
        <v>17432.399999999998</v>
      </c>
    </row>
    <row r="43" spans="1:14" x14ac:dyDescent="0.3">
      <c r="A43" s="28" t="s">
        <v>1297</v>
      </c>
      <c r="B43" t="s">
        <v>506</v>
      </c>
      <c r="C43">
        <v>2015</v>
      </c>
      <c r="D43" s="28" t="s">
        <v>1297</v>
      </c>
      <c r="E43" t="s">
        <v>6</v>
      </c>
      <c r="F43" t="s">
        <v>506</v>
      </c>
      <c r="G43" t="s">
        <v>505</v>
      </c>
      <c r="H43" s="28" t="str">
        <f t="shared" si="2"/>
        <v>H874 Dagactiviteit ZG vis kind licht H874</v>
      </c>
      <c r="I43" s="28">
        <v>47.8</v>
      </c>
      <c r="J43" t="s">
        <v>505</v>
      </c>
      <c r="K43" t="s">
        <v>505</v>
      </c>
      <c r="L43">
        <v>47.8</v>
      </c>
      <c r="N43" s="1">
        <f t="shared" si="3"/>
        <v>17447</v>
      </c>
    </row>
    <row r="44" spans="1:14" x14ac:dyDescent="0.3">
      <c r="A44" s="28" t="s">
        <v>1297</v>
      </c>
      <c r="B44" t="s">
        <v>526</v>
      </c>
      <c r="C44">
        <v>2015</v>
      </c>
      <c r="D44" s="28" t="s">
        <v>1297</v>
      </c>
      <c r="E44" t="s">
        <v>6</v>
      </c>
      <c r="F44" t="s">
        <v>526</v>
      </c>
      <c r="G44" t="s">
        <v>525</v>
      </c>
      <c r="H44" s="28" t="str">
        <f t="shared" si="2"/>
        <v>H873 Dagactiviteit ZG vis zwaar H873</v>
      </c>
      <c r="I44" s="28">
        <v>47.95</v>
      </c>
      <c r="J44" t="s">
        <v>525</v>
      </c>
      <c r="K44" t="s">
        <v>525</v>
      </c>
      <c r="L44">
        <v>47.95</v>
      </c>
      <c r="N44" s="1">
        <f t="shared" si="3"/>
        <v>17501.75</v>
      </c>
    </row>
    <row r="45" spans="1:14" x14ac:dyDescent="0.3">
      <c r="A45" s="28" t="s">
        <v>1297</v>
      </c>
      <c r="B45" t="s">
        <v>550</v>
      </c>
      <c r="C45">
        <v>2015</v>
      </c>
      <c r="D45" s="28" t="s">
        <v>1297</v>
      </c>
      <c r="E45" t="s">
        <v>6</v>
      </c>
      <c r="F45" t="s">
        <v>550</v>
      </c>
      <c r="G45" t="s">
        <v>549</v>
      </c>
      <c r="H45" s="28" t="str">
        <f t="shared" si="2"/>
        <v>H814 Dagactiviteit VG kind licht H814</v>
      </c>
      <c r="I45" s="28">
        <v>48.72</v>
      </c>
      <c r="J45" t="s">
        <v>549</v>
      </c>
      <c r="K45" t="s">
        <v>549</v>
      </c>
      <c r="L45">
        <v>48.72</v>
      </c>
      <c r="N45" s="1">
        <f t="shared" si="3"/>
        <v>17782.8</v>
      </c>
    </row>
    <row r="46" spans="1:14" x14ac:dyDescent="0.3">
      <c r="A46" s="28" t="s">
        <v>1297</v>
      </c>
      <c r="B46" t="s">
        <v>524</v>
      </c>
      <c r="C46">
        <v>2015</v>
      </c>
      <c r="D46" s="28" t="s">
        <v>1297</v>
      </c>
      <c r="E46" t="s">
        <v>6</v>
      </c>
      <c r="F46" t="s">
        <v>524</v>
      </c>
      <c r="G46" t="s">
        <v>523</v>
      </c>
      <c r="H46" s="28" t="str">
        <f t="shared" si="2"/>
        <v>H812 Dagactiviteit VG midden H812</v>
      </c>
      <c r="I46" s="28">
        <v>48.99</v>
      </c>
      <c r="J46" t="s">
        <v>523</v>
      </c>
      <c r="K46" t="s">
        <v>523</v>
      </c>
      <c r="L46">
        <v>48.99</v>
      </c>
      <c r="N46" s="1">
        <f t="shared" si="3"/>
        <v>17881.350000000002</v>
      </c>
    </row>
    <row r="47" spans="1:14" x14ac:dyDescent="0.3">
      <c r="A47" s="28" t="s">
        <v>1297</v>
      </c>
      <c r="B47" t="s">
        <v>461</v>
      </c>
      <c r="C47">
        <v>2015</v>
      </c>
      <c r="D47" s="28" t="s">
        <v>1297</v>
      </c>
      <c r="E47" t="s">
        <v>6</v>
      </c>
      <c r="F47" t="s">
        <v>461</v>
      </c>
      <c r="G47" t="s">
        <v>460</v>
      </c>
      <c r="H47" s="28" t="str">
        <f t="shared" si="2"/>
        <v>H921 Dagbesteding ZG aud midden (ZG aud2) H921</v>
      </c>
      <c r="I47" s="28">
        <v>49.23</v>
      </c>
      <c r="J47" t="s">
        <v>460</v>
      </c>
      <c r="K47" t="s">
        <v>460</v>
      </c>
      <c r="L47">
        <v>49.23</v>
      </c>
      <c r="N47" s="1">
        <f t="shared" si="3"/>
        <v>17968.949999999997</v>
      </c>
    </row>
    <row r="48" spans="1:14" x14ac:dyDescent="0.3">
      <c r="A48" s="28" t="s">
        <v>1297</v>
      </c>
      <c r="B48" t="s">
        <v>540</v>
      </c>
      <c r="C48">
        <v>2015</v>
      </c>
      <c r="D48" s="28" t="s">
        <v>1297</v>
      </c>
      <c r="E48" t="s">
        <v>6</v>
      </c>
      <c r="F48" t="s">
        <v>540</v>
      </c>
      <c r="G48" t="s">
        <v>539</v>
      </c>
      <c r="H48" s="28" t="str">
        <f t="shared" si="2"/>
        <v>H831 Dagactiviteit LG licht H831</v>
      </c>
      <c r="I48" s="28">
        <v>49.41</v>
      </c>
      <c r="J48" t="s">
        <v>539</v>
      </c>
      <c r="K48" t="s">
        <v>539</v>
      </c>
      <c r="L48">
        <v>49.41</v>
      </c>
      <c r="N48" s="1">
        <f t="shared" si="3"/>
        <v>18034.649999999998</v>
      </c>
    </row>
    <row r="49" spans="1:14" x14ac:dyDescent="0.3">
      <c r="A49" s="28" t="s">
        <v>1297</v>
      </c>
      <c r="B49" t="s">
        <v>542</v>
      </c>
      <c r="C49">
        <v>2015</v>
      </c>
      <c r="D49" s="28" t="s">
        <v>1297</v>
      </c>
      <c r="E49" t="s">
        <v>6</v>
      </c>
      <c r="F49" t="s">
        <v>542</v>
      </c>
      <c r="G49" t="s">
        <v>541</v>
      </c>
      <c r="H49" s="28" t="str">
        <f t="shared" si="2"/>
        <v>H851 Dagactiviteit ZG aud licht H851</v>
      </c>
      <c r="I49" s="28">
        <v>50.4</v>
      </c>
      <c r="J49" t="s">
        <v>541</v>
      </c>
      <c r="K49" t="s">
        <v>541</v>
      </c>
      <c r="L49">
        <v>50.4</v>
      </c>
      <c r="N49" s="1">
        <f t="shared" si="3"/>
        <v>18396</v>
      </c>
    </row>
    <row r="50" spans="1:14" x14ac:dyDescent="0.3">
      <c r="A50" s="28" t="s">
        <v>1253</v>
      </c>
      <c r="B50" t="s">
        <v>38</v>
      </c>
      <c r="C50">
        <v>2015</v>
      </c>
      <c r="D50" s="28" t="s">
        <v>1253</v>
      </c>
      <c r="E50" t="s">
        <v>18</v>
      </c>
      <c r="F50" t="s">
        <v>38</v>
      </c>
      <c r="G50" t="s">
        <v>37</v>
      </c>
      <c r="H50" s="28" t="str">
        <f t="shared" si="2"/>
        <v>H126 Persoonlijke Verzorging basis H126</v>
      </c>
      <c r="I50" s="28">
        <v>51.39</v>
      </c>
      <c r="J50" t="s">
        <v>37</v>
      </c>
      <c r="K50" t="s">
        <v>37</v>
      </c>
      <c r="L50">
        <v>51.39</v>
      </c>
      <c r="N50" s="1">
        <f t="shared" si="3"/>
        <v>18757.349999999999</v>
      </c>
    </row>
    <row r="51" spans="1:14" x14ac:dyDescent="0.3">
      <c r="A51" s="28" t="s">
        <v>1253</v>
      </c>
      <c r="B51" t="s">
        <v>46</v>
      </c>
      <c r="C51">
        <v>2015</v>
      </c>
      <c r="D51" s="28" t="s">
        <v>1253</v>
      </c>
      <c r="E51" t="s">
        <v>18</v>
      </c>
      <c r="F51" t="s">
        <v>46</v>
      </c>
      <c r="G51" t="s">
        <v>45</v>
      </c>
      <c r="H51" s="28" t="str">
        <f t="shared" si="2"/>
        <v>H136 Persoonlijke verzorging zorg op afstand aanvullend H136</v>
      </c>
      <c r="I51" s="28">
        <v>51.39</v>
      </c>
      <c r="J51" t="s">
        <v>45</v>
      </c>
      <c r="K51" t="s">
        <v>45</v>
      </c>
      <c r="L51">
        <v>51.39</v>
      </c>
      <c r="N51" s="1">
        <f t="shared" si="3"/>
        <v>18757.349999999999</v>
      </c>
    </row>
    <row r="52" spans="1:14" x14ac:dyDescent="0.3">
      <c r="A52" s="28" t="s">
        <v>1253</v>
      </c>
      <c r="B52" t="s">
        <v>40</v>
      </c>
      <c r="C52">
        <v>2015</v>
      </c>
      <c r="D52" s="28" t="s">
        <v>1253</v>
      </c>
      <c r="E52" t="s">
        <v>18</v>
      </c>
      <c r="F52" t="s">
        <v>40</v>
      </c>
      <c r="G52" t="s">
        <v>39</v>
      </c>
      <c r="H52" s="28" t="str">
        <f t="shared" si="2"/>
        <v>H137 Persoonlijke Verzorging farmaceutische telezorg H137</v>
      </c>
      <c r="I52" s="28">
        <v>51.39</v>
      </c>
      <c r="J52" t="s">
        <v>39</v>
      </c>
      <c r="K52" t="s">
        <v>39</v>
      </c>
      <c r="L52">
        <v>51.39</v>
      </c>
      <c r="N52" s="1">
        <f t="shared" si="3"/>
        <v>18757.349999999999</v>
      </c>
    </row>
    <row r="53" spans="1:14" x14ac:dyDescent="0.3">
      <c r="A53" s="28" t="s">
        <v>1297</v>
      </c>
      <c r="B53" t="s">
        <v>560</v>
      </c>
      <c r="C53">
        <v>2015</v>
      </c>
      <c r="D53" s="28" t="s">
        <v>1297</v>
      </c>
      <c r="E53" t="s">
        <v>6</v>
      </c>
      <c r="F53" t="s">
        <v>560</v>
      </c>
      <c r="G53" t="s">
        <v>559</v>
      </c>
      <c r="H53" s="28" t="str">
        <f t="shared" si="2"/>
        <v>H834 Dagactiviteit LG kind licht H834</v>
      </c>
      <c r="I53" s="28">
        <v>54.65</v>
      </c>
      <c r="J53" t="s">
        <v>559</v>
      </c>
      <c r="K53" t="s">
        <v>559</v>
      </c>
      <c r="L53">
        <v>54.65</v>
      </c>
      <c r="N53" s="1">
        <f t="shared" si="3"/>
        <v>19947.25</v>
      </c>
    </row>
    <row r="54" spans="1:14" x14ac:dyDescent="0.3">
      <c r="A54" s="28" t="s">
        <v>1253</v>
      </c>
      <c r="B54" t="s">
        <v>42</v>
      </c>
      <c r="C54">
        <v>2015</v>
      </c>
      <c r="D54" s="28" t="s">
        <v>1253</v>
      </c>
      <c r="E54" t="s">
        <v>18</v>
      </c>
      <c r="F54" t="s">
        <v>42</v>
      </c>
      <c r="G54" t="s">
        <v>41</v>
      </c>
      <c r="H54" s="28" t="str">
        <f t="shared" si="2"/>
        <v>H127 Persoonlijke Verzorging extra H127</v>
      </c>
      <c r="I54" s="28">
        <v>55.04</v>
      </c>
      <c r="J54" t="s">
        <v>41</v>
      </c>
      <c r="K54" t="s">
        <v>41</v>
      </c>
      <c r="L54">
        <v>55.04</v>
      </c>
      <c r="N54" s="1">
        <f t="shared" si="3"/>
        <v>20089.599999999999</v>
      </c>
    </row>
    <row r="55" spans="1:14" x14ac:dyDescent="0.3">
      <c r="A55" s="28" t="s">
        <v>1428</v>
      </c>
      <c r="B55" t="s">
        <v>24</v>
      </c>
      <c r="C55">
        <v>2015</v>
      </c>
      <c r="D55" s="28" t="s">
        <v>1428</v>
      </c>
      <c r="E55" t="s">
        <v>18</v>
      </c>
      <c r="F55" t="s">
        <v>24</v>
      </c>
      <c r="G55" t="s">
        <v>23</v>
      </c>
      <c r="H55" s="28" t="str">
        <f t="shared" si="2"/>
        <v>H300 Begeleiding basis H300</v>
      </c>
      <c r="I55" s="28">
        <v>55.39</v>
      </c>
      <c r="J55" t="s">
        <v>23</v>
      </c>
      <c r="K55" t="s">
        <v>23</v>
      </c>
      <c r="L55">
        <v>55.39</v>
      </c>
      <c r="N55" s="1">
        <f t="shared" si="3"/>
        <v>20217.349999999999</v>
      </c>
    </row>
    <row r="56" spans="1:14" x14ac:dyDescent="0.3">
      <c r="A56" s="28" t="s">
        <v>1428</v>
      </c>
      <c r="B56" t="s">
        <v>30</v>
      </c>
      <c r="C56">
        <v>2015</v>
      </c>
      <c r="D56" s="28" t="s">
        <v>1428</v>
      </c>
      <c r="E56" t="s">
        <v>18</v>
      </c>
      <c r="F56" t="s">
        <v>30</v>
      </c>
      <c r="G56" t="s">
        <v>29</v>
      </c>
      <c r="H56" s="28" t="str">
        <f t="shared" si="2"/>
        <v>H305 Begeleiding zorg op afstand aanvullend H305</v>
      </c>
      <c r="I56" s="28">
        <v>55.39</v>
      </c>
      <c r="J56" t="s">
        <v>29</v>
      </c>
      <c r="K56" t="s">
        <v>29</v>
      </c>
      <c r="L56">
        <v>55.39</v>
      </c>
      <c r="N56" s="1">
        <f t="shared" si="3"/>
        <v>20217.349999999999</v>
      </c>
    </row>
    <row r="57" spans="1:14" x14ac:dyDescent="0.3">
      <c r="A57" s="28" t="s">
        <v>1297</v>
      </c>
      <c r="B57" t="s">
        <v>492</v>
      </c>
      <c r="C57">
        <v>2015</v>
      </c>
      <c r="D57" s="28" t="s">
        <v>1297</v>
      </c>
      <c r="E57" t="s">
        <v>6</v>
      </c>
      <c r="F57" t="s">
        <v>492</v>
      </c>
      <c r="G57" t="s">
        <v>491</v>
      </c>
      <c r="H57" s="28" t="str">
        <f t="shared" si="2"/>
        <v>H832 Dagactiviteit LG midden H832</v>
      </c>
      <c r="I57" s="28">
        <v>55.9</v>
      </c>
      <c r="J57" t="s">
        <v>491</v>
      </c>
      <c r="K57" t="s">
        <v>491</v>
      </c>
      <c r="L57">
        <v>55.9</v>
      </c>
      <c r="N57" s="1">
        <f t="shared" si="3"/>
        <v>20403.5</v>
      </c>
    </row>
    <row r="58" spans="1:14" x14ac:dyDescent="0.3">
      <c r="A58" s="28" t="s">
        <v>1297</v>
      </c>
      <c r="B58" t="s">
        <v>459</v>
      </c>
      <c r="C58">
        <v>2015</v>
      </c>
      <c r="D58" s="28" t="s">
        <v>1297</v>
      </c>
      <c r="E58" t="s">
        <v>6</v>
      </c>
      <c r="F58" t="s">
        <v>459</v>
      </c>
      <c r="G58" t="s">
        <v>458</v>
      </c>
      <c r="H58" s="28" t="str">
        <f t="shared" si="2"/>
        <v>H922 Dagbesteding ZG aud zwaar (ZG aud3) H922</v>
      </c>
      <c r="I58" s="28">
        <v>56.48</v>
      </c>
      <c r="J58" t="s">
        <v>458</v>
      </c>
      <c r="K58" t="s">
        <v>458</v>
      </c>
      <c r="L58">
        <v>56.48</v>
      </c>
      <c r="N58" s="1">
        <f t="shared" si="3"/>
        <v>20615.199999999997</v>
      </c>
    </row>
    <row r="59" spans="1:14" x14ac:dyDescent="0.3">
      <c r="A59" s="28" t="s">
        <v>1297</v>
      </c>
      <c r="B59" t="s">
        <v>538</v>
      </c>
      <c r="C59">
        <v>2015</v>
      </c>
      <c r="D59" s="28" t="s">
        <v>1297</v>
      </c>
      <c r="E59" t="s">
        <v>6</v>
      </c>
      <c r="F59" t="s">
        <v>538</v>
      </c>
      <c r="G59" t="s">
        <v>537</v>
      </c>
      <c r="H59" s="28" t="str">
        <f t="shared" si="2"/>
        <v>H875 Dagactiviteit ZG vis kind midden H875</v>
      </c>
      <c r="I59" s="28">
        <v>57.88</v>
      </c>
      <c r="J59" t="s">
        <v>537</v>
      </c>
      <c r="K59" t="s">
        <v>537</v>
      </c>
      <c r="L59">
        <v>57.88</v>
      </c>
      <c r="N59" s="1">
        <f t="shared" si="3"/>
        <v>21126.2</v>
      </c>
    </row>
    <row r="60" spans="1:14" x14ac:dyDescent="0.3">
      <c r="A60" s="28" t="s">
        <v>1428</v>
      </c>
      <c r="B60" t="s">
        <v>36</v>
      </c>
      <c r="C60">
        <v>2015</v>
      </c>
      <c r="D60" s="28" t="s">
        <v>1428</v>
      </c>
      <c r="E60" t="s">
        <v>18</v>
      </c>
      <c r="F60" t="s">
        <v>36</v>
      </c>
      <c r="G60" t="s">
        <v>35</v>
      </c>
      <c r="H60" s="28" t="str">
        <f t="shared" si="2"/>
        <v>H150 Begeleiding extra H150</v>
      </c>
      <c r="I60" s="28">
        <v>59.33</v>
      </c>
      <c r="J60" t="s">
        <v>35</v>
      </c>
      <c r="K60" t="s">
        <v>35</v>
      </c>
      <c r="L60">
        <v>59.33</v>
      </c>
      <c r="N60" s="1">
        <f t="shared" si="3"/>
        <v>21655.45</v>
      </c>
    </row>
    <row r="61" spans="1:14" x14ac:dyDescent="0.3">
      <c r="A61" s="28" t="s">
        <v>1297</v>
      </c>
      <c r="B61" t="s">
        <v>530</v>
      </c>
      <c r="C61">
        <v>2015</v>
      </c>
      <c r="D61" s="28" t="s">
        <v>1297</v>
      </c>
      <c r="E61" t="s">
        <v>6</v>
      </c>
      <c r="F61" t="s">
        <v>530</v>
      </c>
      <c r="G61" t="s">
        <v>529</v>
      </c>
      <c r="H61" s="28" t="str">
        <f t="shared" si="2"/>
        <v>H854 Dagactiviteit ZG aud kind licht H854</v>
      </c>
      <c r="I61" s="28">
        <v>59.67</v>
      </c>
      <c r="J61" t="s">
        <v>529</v>
      </c>
      <c r="K61" t="s">
        <v>529</v>
      </c>
      <c r="L61">
        <v>59.67</v>
      </c>
      <c r="N61" s="1">
        <f t="shared" si="3"/>
        <v>21779.55</v>
      </c>
    </row>
    <row r="62" spans="1:14" x14ac:dyDescent="0.3">
      <c r="A62" s="28" t="s">
        <v>1297</v>
      </c>
      <c r="B62" t="s">
        <v>518</v>
      </c>
      <c r="C62">
        <v>2015</v>
      </c>
      <c r="D62" s="28" t="s">
        <v>1297</v>
      </c>
      <c r="E62" t="s">
        <v>6</v>
      </c>
      <c r="F62" t="s">
        <v>518</v>
      </c>
      <c r="G62" t="s">
        <v>517</v>
      </c>
      <c r="H62" s="28" t="str">
        <f t="shared" si="2"/>
        <v>H833 Dagactiviteit LG zwaar H833</v>
      </c>
      <c r="I62" s="28">
        <v>59.87</v>
      </c>
      <c r="J62" t="s">
        <v>517</v>
      </c>
      <c r="K62" t="s">
        <v>517</v>
      </c>
      <c r="L62">
        <v>59.87</v>
      </c>
      <c r="N62" s="1">
        <f t="shared" si="3"/>
        <v>21852.55</v>
      </c>
    </row>
    <row r="63" spans="1:14" x14ac:dyDescent="0.3">
      <c r="A63" s="28" t="s">
        <v>1297</v>
      </c>
      <c r="B63" t="s">
        <v>532</v>
      </c>
      <c r="C63">
        <v>2015</v>
      </c>
      <c r="D63" s="28" t="s">
        <v>1297</v>
      </c>
      <c r="E63" t="s">
        <v>6</v>
      </c>
      <c r="F63" t="s">
        <v>532</v>
      </c>
      <c r="G63" t="s">
        <v>531</v>
      </c>
      <c r="H63" s="28" t="str">
        <f t="shared" si="2"/>
        <v>H852 Dagactiviteit ZG aud midden H852</v>
      </c>
      <c r="I63" s="28">
        <v>61.35</v>
      </c>
      <c r="J63" t="s">
        <v>531</v>
      </c>
      <c r="K63" t="s">
        <v>531</v>
      </c>
      <c r="L63">
        <v>61.35</v>
      </c>
      <c r="N63" s="1">
        <f t="shared" si="3"/>
        <v>22392.75</v>
      </c>
    </row>
    <row r="64" spans="1:14" x14ac:dyDescent="0.3">
      <c r="A64" s="28" t="s">
        <v>1295</v>
      </c>
      <c r="B64" t="s">
        <v>437</v>
      </c>
      <c r="C64">
        <v>2015</v>
      </c>
      <c r="D64" s="28" t="s">
        <v>1295</v>
      </c>
      <c r="E64" t="s">
        <v>394</v>
      </c>
      <c r="F64" t="s">
        <v>437</v>
      </c>
      <c r="G64" t="s">
        <v>436</v>
      </c>
      <c r="H64" s="28" t="str">
        <f t="shared" si="2"/>
        <v>H330 Behandeling paramedisch H330</v>
      </c>
      <c r="I64" s="28">
        <v>62.22</v>
      </c>
      <c r="J64" t="s">
        <v>436</v>
      </c>
      <c r="K64" t="s">
        <v>436</v>
      </c>
      <c r="L64">
        <v>62.22</v>
      </c>
      <c r="N64" s="1">
        <f t="shared" si="3"/>
        <v>22710.3</v>
      </c>
    </row>
    <row r="65" spans="1:14" x14ac:dyDescent="0.3">
      <c r="A65" s="28" t="s">
        <v>1297</v>
      </c>
      <c r="B65" t="s">
        <v>502</v>
      </c>
      <c r="C65">
        <v>2015</v>
      </c>
      <c r="D65" s="28" t="s">
        <v>1297</v>
      </c>
      <c r="E65" t="s">
        <v>6</v>
      </c>
      <c r="F65" t="s">
        <v>502</v>
      </c>
      <c r="G65" t="s">
        <v>501</v>
      </c>
      <c r="H65" s="28" t="str">
        <f t="shared" si="2"/>
        <v>H815 Dagactiviteit VG kind midden H815</v>
      </c>
      <c r="I65" s="28">
        <v>63.7</v>
      </c>
      <c r="J65" t="s">
        <v>501</v>
      </c>
      <c r="K65" t="s">
        <v>501</v>
      </c>
      <c r="L65">
        <v>63.7</v>
      </c>
      <c r="N65" s="1">
        <f t="shared" si="3"/>
        <v>23250.5</v>
      </c>
    </row>
    <row r="66" spans="1:14" x14ac:dyDescent="0.3">
      <c r="A66" s="28" t="s">
        <v>1297</v>
      </c>
      <c r="B66" t="s">
        <v>11</v>
      </c>
      <c r="C66">
        <v>2015</v>
      </c>
      <c r="D66" s="28" t="s">
        <v>1297</v>
      </c>
      <c r="E66" t="s">
        <v>6</v>
      </c>
      <c r="F66" t="s">
        <v>11</v>
      </c>
      <c r="G66" t="s">
        <v>10</v>
      </c>
      <c r="H66" s="28" t="str">
        <f t="shared" ref="H66:H97" si="4">CONCATENATE(F66," ",G66)</f>
        <v>H902 Dagbesteding VG-zwaar (VG7) H902</v>
      </c>
      <c r="I66" s="28">
        <v>63.84</v>
      </c>
      <c r="J66" t="s">
        <v>10</v>
      </c>
      <c r="K66" t="s">
        <v>790</v>
      </c>
      <c r="L66">
        <v>63.84</v>
      </c>
      <c r="N66" s="1">
        <f t="shared" ref="N66:N97" si="5">SUM(L66:M66)*365</f>
        <v>23301.600000000002</v>
      </c>
    </row>
    <row r="67" spans="1:14" x14ac:dyDescent="0.3">
      <c r="A67" s="28" t="s">
        <v>1297</v>
      </c>
      <c r="B67" t="s">
        <v>463</v>
      </c>
      <c r="C67">
        <v>2015</v>
      </c>
      <c r="D67" s="28" t="s">
        <v>1297</v>
      </c>
      <c r="E67" t="s">
        <v>6</v>
      </c>
      <c r="F67" t="s">
        <v>463</v>
      </c>
      <c r="G67" t="s">
        <v>462</v>
      </c>
      <c r="H67" s="28" t="str">
        <f t="shared" si="4"/>
        <v>H942 Toeslag kind dagbesteding VG5/VG8 midden emg H942</v>
      </c>
      <c r="I67" s="28">
        <v>64.260000000000005</v>
      </c>
      <c r="J67" t="s">
        <v>462</v>
      </c>
      <c r="K67" t="s">
        <v>799</v>
      </c>
      <c r="L67">
        <v>64.260000000000005</v>
      </c>
      <c r="N67" s="1">
        <f t="shared" si="5"/>
        <v>23454.9</v>
      </c>
    </row>
    <row r="68" spans="1:14" x14ac:dyDescent="0.3">
      <c r="A68" s="28" t="s">
        <v>1297</v>
      </c>
      <c r="B68" t="s">
        <v>510</v>
      </c>
      <c r="C68">
        <v>2015</v>
      </c>
      <c r="D68" s="28" t="s">
        <v>1297</v>
      </c>
      <c r="E68" t="s">
        <v>6</v>
      </c>
      <c r="F68" t="s">
        <v>510</v>
      </c>
      <c r="G68" t="s">
        <v>509</v>
      </c>
      <c r="H68" s="28" t="str">
        <f t="shared" si="4"/>
        <v>H835 Dagactiviteit LG kind midden H835</v>
      </c>
      <c r="I68" s="28">
        <v>65.83</v>
      </c>
      <c r="J68" t="s">
        <v>509</v>
      </c>
      <c r="K68" t="s">
        <v>509</v>
      </c>
      <c r="L68">
        <v>65.83</v>
      </c>
      <c r="N68" s="1">
        <f t="shared" si="5"/>
        <v>24027.95</v>
      </c>
    </row>
    <row r="69" spans="1:14" x14ac:dyDescent="0.3">
      <c r="A69" s="28" t="s">
        <v>1297</v>
      </c>
      <c r="B69" t="s">
        <v>490</v>
      </c>
      <c r="C69">
        <v>2015</v>
      </c>
      <c r="D69" s="28" t="s">
        <v>1297</v>
      </c>
      <c r="E69" t="s">
        <v>6</v>
      </c>
      <c r="F69" t="s">
        <v>490</v>
      </c>
      <c r="G69" t="s">
        <v>489</v>
      </c>
      <c r="H69" s="28" t="str">
        <f t="shared" si="4"/>
        <v>H533 Dagactiviteit pg H533</v>
      </c>
      <c r="I69" s="28">
        <v>67.16</v>
      </c>
      <c r="J69" t="s">
        <v>489</v>
      </c>
      <c r="K69" t="s">
        <v>489</v>
      </c>
      <c r="L69">
        <v>67.16</v>
      </c>
      <c r="N69" s="1">
        <f t="shared" si="5"/>
        <v>24513.399999999998</v>
      </c>
    </row>
    <row r="70" spans="1:14" x14ac:dyDescent="0.3">
      <c r="A70" s="28" t="s">
        <v>1297</v>
      </c>
      <c r="B70" t="s">
        <v>520</v>
      </c>
      <c r="C70">
        <v>2015</v>
      </c>
      <c r="D70" s="28" t="s">
        <v>1297</v>
      </c>
      <c r="E70" t="s">
        <v>6</v>
      </c>
      <c r="F70" t="s">
        <v>520</v>
      </c>
      <c r="G70" t="s">
        <v>519</v>
      </c>
      <c r="H70" s="28" t="str">
        <f t="shared" si="4"/>
        <v>H800 Dagactiviteit som-ondersteunend H800</v>
      </c>
      <c r="I70" s="28">
        <v>67.16</v>
      </c>
      <c r="J70" t="s">
        <v>519</v>
      </c>
      <c r="K70" t="s">
        <v>519</v>
      </c>
      <c r="L70">
        <v>67.16</v>
      </c>
      <c r="N70" s="1">
        <f t="shared" si="5"/>
        <v>24513.399999999998</v>
      </c>
    </row>
    <row r="71" spans="1:14" x14ac:dyDescent="0.3">
      <c r="A71" s="28" t="s">
        <v>1297</v>
      </c>
      <c r="B71" t="s">
        <v>427</v>
      </c>
      <c r="C71">
        <v>2015</v>
      </c>
      <c r="D71" s="28" t="s">
        <v>1297</v>
      </c>
      <c r="E71" t="s">
        <v>6</v>
      </c>
      <c r="F71" t="s">
        <v>427</v>
      </c>
      <c r="G71" t="s">
        <v>426</v>
      </c>
      <c r="H71" s="28" t="str">
        <f t="shared" si="4"/>
        <v>H802 Dagbehandeling ouderen som en pg H802</v>
      </c>
      <c r="I71" s="28">
        <v>67.16</v>
      </c>
      <c r="J71" t="s">
        <v>426</v>
      </c>
      <c r="K71" t="s">
        <v>426</v>
      </c>
      <c r="L71">
        <v>67.16</v>
      </c>
      <c r="N71" s="1">
        <f t="shared" si="5"/>
        <v>24513.399999999998</v>
      </c>
    </row>
    <row r="72" spans="1:14" x14ac:dyDescent="0.3">
      <c r="A72" s="28" t="s">
        <v>1297</v>
      </c>
      <c r="B72" t="s">
        <v>498</v>
      </c>
      <c r="C72">
        <v>2015</v>
      </c>
      <c r="D72" s="28" t="s">
        <v>1297</v>
      </c>
      <c r="E72" t="s">
        <v>6</v>
      </c>
      <c r="F72" t="s">
        <v>498</v>
      </c>
      <c r="G72" t="s">
        <v>497</v>
      </c>
      <c r="H72" s="28" t="str">
        <f t="shared" si="4"/>
        <v>H853 Dagactiviteit ZG aud zwaar H853</v>
      </c>
      <c r="I72" s="28">
        <v>68.680000000000007</v>
      </c>
      <c r="J72" t="s">
        <v>497</v>
      </c>
      <c r="K72" t="s">
        <v>497</v>
      </c>
      <c r="L72">
        <v>68.680000000000007</v>
      </c>
      <c r="N72" s="1">
        <f t="shared" si="5"/>
        <v>25068.2</v>
      </c>
    </row>
    <row r="73" spans="1:14" x14ac:dyDescent="0.3">
      <c r="A73" s="28" t="s">
        <v>1297</v>
      </c>
      <c r="B73" t="s">
        <v>405</v>
      </c>
      <c r="C73">
        <v>2015</v>
      </c>
      <c r="D73" s="28" t="s">
        <v>1297</v>
      </c>
      <c r="E73" t="s">
        <v>6</v>
      </c>
      <c r="F73" t="s">
        <v>405</v>
      </c>
      <c r="G73" t="s">
        <v>404</v>
      </c>
      <c r="H73" s="28" t="str">
        <f t="shared" si="4"/>
        <v>H837 Dagbehandeling LG licht H837</v>
      </c>
      <c r="I73" s="28">
        <v>72.37</v>
      </c>
      <c r="J73" t="s">
        <v>404</v>
      </c>
      <c r="K73" t="s">
        <v>404</v>
      </c>
      <c r="L73">
        <v>72.37</v>
      </c>
      <c r="N73" s="1">
        <f t="shared" si="5"/>
        <v>26415.050000000003</v>
      </c>
    </row>
    <row r="74" spans="1:14" x14ac:dyDescent="0.3">
      <c r="A74" s="28" t="s">
        <v>1297</v>
      </c>
      <c r="B74" t="s">
        <v>496</v>
      </c>
      <c r="C74">
        <v>2015</v>
      </c>
      <c r="D74" s="28" t="s">
        <v>1297</v>
      </c>
      <c r="E74" t="s">
        <v>6</v>
      </c>
      <c r="F74" t="s">
        <v>496</v>
      </c>
      <c r="G74" t="s">
        <v>495</v>
      </c>
      <c r="H74" s="28" t="str">
        <f t="shared" si="4"/>
        <v>H876 Dagactiviteit ZG vis kind zwaar H876</v>
      </c>
      <c r="I74" s="28">
        <v>74.59</v>
      </c>
      <c r="J74" t="s">
        <v>495</v>
      </c>
      <c r="K74" t="s">
        <v>495</v>
      </c>
      <c r="L74">
        <v>74.59</v>
      </c>
      <c r="N74" s="1">
        <f t="shared" si="5"/>
        <v>27225.350000000002</v>
      </c>
    </row>
    <row r="75" spans="1:14" x14ac:dyDescent="0.3">
      <c r="A75" s="28" t="s">
        <v>1297</v>
      </c>
      <c r="B75" t="s">
        <v>516</v>
      </c>
      <c r="C75">
        <v>2015</v>
      </c>
      <c r="D75" s="28" t="s">
        <v>1297</v>
      </c>
      <c r="E75" t="s">
        <v>6</v>
      </c>
      <c r="F75" t="s">
        <v>516</v>
      </c>
      <c r="G75" t="s">
        <v>515</v>
      </c>
      <c r="H75" s="28" t="str">
        <f t="shared" si="4"/>
        <v>H855 Dagactiviteit ZG aud kind midden H855</v>
      </c>
      <c r="I75" s="28">
        <v>75.31</v>
      </c>
      <c r="J75" t="s">
        <v>515</v>
      </c>
      <c r="K75" t="s">
        <v>515</v>
      </c>
      <c r="L75">
        <v>75.31</v>
      </c>
      <c r="N75" s="1">
        <f t="shared" si="5"/>
        <v>27488.15</v>
      </c>
    </row>
    <row r="76" spans="1:14" x14ac:dyDescent="0.3">
      <c r="A76" s="28" t="s">
        <v>1297</v>
      </c>
      <c r="B76" t="s">
        <v>546</v>
      </c>
      <c r="C76">
        <v>2015</v>
      </c>
      <c r="D76" s="28" t="s">
        <v>1297</v>
      </c>
      <c r="E76" t="s">
        <v>6</v>
      </c>
      <c r="F76" t="s">
        <v>546</v>
      </c>
      <c r="G76" t="s">
        <v>545</v>
      </c>
      <c r="H76" s="28" t="str">
        <f t="shared" si="4"/>
        <v>H813 Dagactiviteit VG zwaar H813</v>
      </c>
      <c r="I76" s="28">
        <v>75.38</v>
      </c>
      <c r="J76" t="s">
        <v>545</v>
      </c>
      <c r="K76" t="s">
        <v>545</v>
      </c>
      <c r="L76">
        <v>75.38</v>
      </c>
      <c r="N76" s="1">
        <f t="shared" si="5"/>
        <v>27513.699999999997</v>
      </c>
    </row>
    <row r="77" spans="1:14" x14ac:dyDescent="0.3">
      <c r="A77" s="28" t="s">
        <v>1255</v>
      </c>
      <c r="B77" t="s">
        <v>26</v>
      </c>
      <c r="C77">
        <v>2015</v>
      </c>
      <c r="D77" s="28" t="s">
        <v>1255</v>
      </c>
      <c r="E77" t="s">
        <v>18</v>
      </c>
      <c r="F77" t="s">
        <v>26</v>
      </c>
      <c r="G77" t="s">
        <v>25</v>
      </c>
      <c r="H77" s="28" t="str">
        <f t="shared" si="4"/>
        <v>H104 Verpleging basis H104</v>
      </c>
      <c r="I77" s="28">
        <v>76.069999999999993</v>
      </c>
      <c r="J77" t="s">
        <v>25</v>
      </c>
      <c r="K77" t="s">
        <v>25</v>
      </c>
      <c r="L77">
        <v>76.069999999999993</v>
      </c>
      <c r="N77" s="1">
        <f t="shared" si="5"/>
        <v>27765.55</v>
      </c>
    </row>
    <row r="78" spans="1:14" x14ac:dyDescent="0.3">
      <c r="A78" s="28" t="s">
        <v>1255</v>
      </c>
      <c r="B78" t="s">
        <v>28</v>
      </c>
      <c r="C78">
        <v>2015</v>
      </c>
      <c r="D78" s="28" t="s">
        <v>1255</v>
      </c>
      <c r="E78" t="s">
        <v>18</v>
      </c>
      <c r="F78" t="s">
        <v>28</v>
      </c>
      <c r="G78" t="s">
        <v>27</v>
      </c>
      <c r="H78" s="28" t="str">
        <f t="shared" si="4"/>
        <v>H107 Verpleging zorg op afstand aanvullend H107</v>
      </c>
      <c r="I78" s="28">
        <v>76.069999999999993</v>
      </c>
      <c r="J78" t="s">
        <v>27</v>
      </c>
      <c r="K78" t="s">
        <v>27</v>
      </c>
      <c r="L78">
        <v>76.069999999999993</v>
      </c>
      <c r="N78" s="1">
        <f t="shared" si="5"/>
        <v>27765.55</v>
      </c>
    </row>
    <row r="79" spans="1:14" x14ac:dyDescent="0.3">
      <c r="A79" s="28" t="s">
        <v>1255</v>
      </c>
      <c r="B79" t="s">
        <v>568</v>
      </c>
      <c r="C79">
        <v>2015</v>
      </c>
      <c r="D79" s="28" t="s">
        <v>1255</v>
      </c>
      <c r="E79" t="s">
        <v>18</v>
      </c>
      <c r="F79" t="s">
        <v>568</v>
      </c>
      <c r="G79" t="s">
        <v>567</v>
      </c>
      <c r="H79" s="28" t="str">
        <f t="shared" si="4"/>
        <v>H114 Verpleging: AIV H114</v>
      </c>
      <c r="I79" s="28">
        <v>76.069999999999993</v>
      </c>
      <c r="J79" t="s">
        <v>567</v>
      </c>
      <c r="K79" t="s">
        <v>567</v>
      </c>
      <c r="L79">
        <v>76.069999999999993</v>
      </c>
      <c r="N79" s="1">
        <f t="shared" si="5"/>
        <v>27765.55</v>
      </c>
    </row>
    <row r="80" spans="1:14" x14ac:dyDescent="0.3">
      <c r="A80" s="28" t="s">
        <v>1253</v>
      </c>
      <c r="B80" t="s">
        <v>34</v>
      </c>
      <c r="C80">
        <v>2015</v>
      </c>
      <c r="D80" s="28" t="s">
        <v>1253</v>
      </c>
      <c r="E80" t="s">
        <v>18</v>
      </c>
      <c r="F80" t="s">
        <v>34</v>
      </c>
      <c r="G80" t="s">
        <v>33</v>
      </c>
      <c r="H80" s="28" t="str">
        <f t="shared" si="4"/>
        <v>H120 Persoonlijke Verzorging speciaal H120</v>
      </c>
      <c r="I80" s="28">
        <v>76.78</v>
      </c>
      <c r="J80" t="s">
        <v>33</v>
      </c>
      <c r="K80" t="s">
        <v>33</v>
      </c>
      <c r="L80">
        <v>76.78</v>
      </c>
      <c r="N80" s="1">
        <f t="shared" si="5"/>
        <v>28024.7</v>
      </c>
    </row>
    <row r="81" spans="1:14" x14ac:dyDescent="0.3">
      <c r="A81" s="28" t="s">
        <v>1297</v>
      </c>
      <c r="B81" t="s">
        <v>417</v>
      </c>
      <c r="C81">
        <v>2015</v>
      </c>
      <c r="D81" s="28" t="s">
        <v>1297</v>
      </c>
      <c r="E81" t="s">
        <v>6</v>
      </c>
      <c r="F81" t="s">
        <v>417</v>
      </c>
      <c r="G81" t="s">
        <v>416</v>
      </c>
      <c r="H81" s="28" t="str">
        <f t="shared" si="4"/>
        <v>H838 Dagbehandeling LG midden H838</v>
      </c>
      <c r="I81" s="28">
        <v>78.94</v>
      </c>
      <c r="J81" t="s">
        <v>416</v>
      </c>
      <c r="K81" t="s">
        <v>416</v>
      </c>
      <c r="L81">
        <v>78.94</v>
      </c>
      <c r="N81" s="1">
        <f t="shared" si="5"/>
        <v>28813.1</v>
      </c>
    </row>
    <row r="82" spans="1:14" x14ac:dyDescent="0.3">
      <c r="A82" s="28" t="s">
        <v>1253</v>
      </c>
      <c r="B82" t="s">
        <v>20</v>
      </c>
      <c r="C82">
        <v>2015</v>
      </c>
      <c r="D82" s="28" t="s">
        <v>1253</v>
      </c>
      <c r="E82" t="s">
        <v>18</v>
      </c>
      <c r="F82" t="s">
        <v>20</v>
      </c>
      <c r="G82" t="s">
        <v>19</v>
      </c>
      <c r="H82" s="28" t="str">
        <f t="shared" si="4"/>
        <v>H128 Verpleging extra H128</v>
      </c>
      <c r="I82" s="28">
        <v>81.48</v>
      </c>
      <c r="J82" t="s">
        <v>19</v>
      </c>
      <c r="K82" t="s">
        <v>19</v>
      </c>
      <c r="L82">
        <v>81.48</v>
      </c>
      <c r="N82" s="1">
        <f t="shared" si="5"/>
        <v>29740.2</v>
      </c>
    </row>
    <row r="83" spans="1:14" x14ac:dyDescent="0.3">
      <c r="A83" s="28" t="s">
        <v>1297</v>
      </c>
      <c r="B83" t="s">
        <v>392</v>
      </c>
      <c r="C83">
        <v>2015</v>
      </c>
      <c r="D83" s="28" t="s">
        <v>1297</v>
      </c>
      <c r="E83" t="s">
        <v>6</v>
      </c>
      <c r="F83" t="s">
        <v>392</v>
      </c>
      <c r="G83" t="s">
        <v>391</v>
      </c>
      <c r="H83" s="28" t="str">
        <f t="shared" si="4"/>
        <v>H820 Dagbehandeling VG kind midden H820</v>
      </c>
      <c r="I83" s="28">
        <v>81.86</v>
      </c>
      <c r="J83" t="s">
        <v>391</v>
      </c>
      <c r="K83" t="s">
        <v>391</v>
      </c>
      <c r="L83">
        <v>81.86</v>
      </c>
      <c r="N83" s="1">
        <f t="shared" si="5"/>
        <v>29878.9</v>
      </c>
    </row>
    <row r="84" spans="1:14" x14ac:dyDescent="0.3">
      <c r="A84" s="28" t="s">
        <v>1255</v>
      </c>
      <c r="B84" t="s">
        <v>44</v>
      </c>
      <c r="C84">
        <v>2015</v>
      </c>
      <c r="D84" s="28" t="s">
        <v>1255</v>
      </c>
      <c r="E84" t="s">
        <v>18</v>
      </c>
      <c r="F84" t="s">
        <v>44</v>
      </c>
      <c r="G84" t="s">
        <v>43</v>
      </c>
      <c r="H84" s="28" t="str">
        <f t="shared" si="4"/>
        <v>H106 Gespecialiseerde verpleging H106</v>
      </c>
      <c r="I84" s="28">
        <v>82.37</v>
      </c>
      <c r="J84" t="s">
        <v>43</v>
      </c>
      <c r="K84" t="s">
        <v>43</v>
      </c>
      <c r="L84">
        <v>82.37</v>
      </c>
      <c r="N84" s="1">
        <f t="shared" si="5"/>
        <v>30065.050000000003</v>
      </c>
    </row>
    <row r="85" spans="1:14" x14ac:dyDescent="0.3">
      <c r="A85" s="28" t="s">
        <v>1297</v>
      </c>
      <c r="B85" t="s">
        <v>554</v>
      </c>
      <c r="C85">
        <v>2015</v>
      </c>
      <c r="D85" s="28" t="s">
        <v>1297</v>
      </c>
      <c r="E85" t="s">
        <v>6</v>
      </c>
      <c r="F85" t="s">
        <v>554</v>
      </c>
      <c r="G85" t="s">
        <v>553</v>
      </c>
      <c r="H85" s="28" t="str">
        <f t="shared" si="4"/>
        <v>H836 Dagactiviteit LG kind zwaar H836</v>
      </c>
      <c r="I85" s="28">
        <v>82.47</v>
      </c>
      <c r="J85" t="s">
        <v>553</v>
      </c>
      <c r="K85" t="s">
        <v>553</v>
      </c>
      <c r="L85">
        <v>82.47</v>
      </c>
      <c r="N85" s="1">
        <f t="shared" si="5"/>
        <v>30101.55</v>
      </c>
    </row>
    <row r="86" spans="1:14" x14ac:dyDescent="0.3">
      <c r="A86" s="28" t="s">
        <v>1297</v>
      </c>
      <c r="B86" t="s">
        <v>407</v>
      </c>
      <c r="C86">
        <v>2015</v>
      </c>
      <c r="D86" s="28" t="s">
        <v>1297</v>
      </c>
      <c r="E86" t="s">
        <v>6</v>
      </c>
      <c r="F86" t="s">
        <v>407</v>
      </c>
      <c r="G86" t="s">
        <v>406</v>
      </c>
      <c r="H86" s="28" t="str">
        <f t="shared" si="4"/>
        <v>H839 Dagbehandeling LG zwaar H839</v>
      </c>
      <c r="I86" s="28">
        <v>82.96</v>
      </c>
      <c r="J86" t="s">
        <v>406</v>
      </c>
      <c r="K86" t="s">
        <v>406</v>
      </c>
      <c r="L86">
        <v>82.96</v>
      </c>
      <c r="N86" s="1">
        <f t="shared" si="5"/>
        <v>30280.399999999998</v>
      </c>
    </row>
    <row r="87" spans="1:14" x14ac:dyDescent="0.3">
      <c r="A87" s="28" t="s">
        <v>1428</v>
      </c>
      <c r="B87" t="s">
        <v>522</v>
      </c>
      <c r="C87">
        <v>2015</v>
      </c>
      <c r="D87" s="28" t="s">
        <v>1428</v>
      </c>
      <c r="E87" t="s">
        <v>18</v>
      </c>
      <c r="F87" t="s">
        <v>522</v>
      </c>
      <c r="G87" t="s">
        <v>521</v>
      </c>
      <c r="H87" s="28" t="str">
        <f t="shared" si="4"/>
        <v>H303 Begeleiding ZG auditief H303</v>
      </c>
      <c r="I87" s="28">
        <v>84.09</v>
      </c>
      <c r="J87" t="s">
        <v>521</v>
      </c>
      <c r="K87" t="s">
        <v>521</v>
      </c>
      <c r="L87">
        <v>84.09</v>
      </c>
      <c r="N87" s="1">
        <f t="shared" si="5"/>
        <v>30692.850000000002</v>
      </c>
    </row>
    <row r="88" spans="1:14" x14ac:dyDescent="0.3">
      <c r="A88" s="28" t="s">
        <v>1297</v>
      </c>
      <c r="B88" t="s">
        <v>409</v>
      </c>
      <c r="C88">
        <v>2015</v>
      </c>
      <c r="D88" s="28" t="s">
        <v>1297</v>
      </c>
      <c r="E88" t="s">
        <v>6</v>
      </c>
      <c r="F88" t="s">
        <v>409</v>
      </c>
      <c r="G88" t="s">
        <v>408</v>
      </c>
      <c r="H88" s="28" t="str">
        <f t="shared" si="4"/>
        <v>H819 Dagbehandeling VG emg H819</v>
      </c>
      <c r="I88" s="28">
        <v>84.23</v>
      </c>
      <c r="J88" t="s">
        <v>408</v>
      </c>
      <c r="K88" t="s">
        <v>408</v>
      </c>
      <c r="L88">
        <v>84.23</v>
      </c>
      <c r="N88" s="1">
        <f t="shared" si="5"/>
        <v>30743.95</v>
      </c>
    </row>
    <row r="89" spans="1:14" x14ac:dyDescent="0.3">
      <c r="A89" s="28" t="s">
        <v>1428</v>
      </c>
      <c r="B89" t="s">
        <v>528</v>
      </c>
      <c r="C89">
        <v>2015</v>
      </c>
      <c r="D89" s="28" t="s">
        <v>1428</v>
      </c>
      <c r="E89" t="s">
        <v>18</v>
      </c>
      <c r="F89" t="s">
        <v>528</v>
      </c>
      <c r="G89" t="s">
        <v>527</v>
      </c>
      <c r="H89" s="28" t="str">
        <f t="shared" si="4"/>
        <v>H180 Nachtverpleging H180</v>
      </c>
      <c r="I89" s="28">
        <v>88.76</v>
      </c>
      <c r="J89" t="s">
        <v>527</v>
      </c>
      <c r="K89" t="s">
        <v>527</v>
      </c>
      <c r="L89">
        <v>88.76</v>
      </c>
      <c r="N89" s="1">
        <f t="shared" si="5"/>
        <v>32397.4</v>
      </c>
    </row>
    <row r="90" spans="1:14" x14ac:dyDescent="0.3">
      <c r="A90" s="28" t="s">
        <v>1428</v>
      </c>
      <c r="B90" t="s">
        <v>22</v>
      </c>
      <c r="C90">
        <v>2015</v>
      </c>
      <c r="D90" s="28" t="s">
        <v>1428</v>
      </c>
      <c r="E90" t="s">
        <v>18</v>
      </c>
      <c r="F90" t="s">
        <v>22</v>
      </c>
      <c r="G90" t="s">
        <v>21</v>
      </c>
      <c r="H90" s="28" t="str">
        <f t="shared" si="4"/>
        <v>H152 Begeleiding speciaal 1 (nah) H152</v>
      </c>
      <c r="I90" s="28">
        <v>90.59</v>
      </c>
      <c r="J90" t="s">
        <v>21</v>
      </c>
      <c r="K90" t="s">
        <v>21</v>
      </c>
      <c r="L90">
        <v>90.59</v>
      </c>
      <c r="N90" s="1">
        <f t="shared" si="5"/>
        <v>33065.35</v>
      </c>
    </row>
    <row r="91" spans="1:14" x14ac:dyDescent="0.3">
      <c r="A91" s="28" t="s">
        <v>1297</v>
      </c>
      <c r="B91" t="s">
        <v>494</v>
      </c>
      <c r="C91">
        <v>2015</v>
      </c>
      <c r="D91" s="28" t="s">
        <v>1297</v>
      </c>
      <c r="E91" t="s">
        <v>6</v>
      </c>
      <c r="F91" t="s">
        <v>494</v>
      </c>
      <c r="G91" t="s">
        <v>493</v>
      </c>
      <c r="H91" s="28" t="str">
        <f t="shared" si="4"/>
        <v>H856 Dagactiviteit ZG aud kind zwaar H856</v>
      </c>
      <c r="I91" s="28">
        <v>95.32</v>
      </c>
      <c r="J91" t="s">
        <v>493</v>
      </c>
      <c r="K91" t="s">
        <v>493</v>
      </c>
      <c r="L91">
        <v>95.32</v>
      </c>
      <c r="N91" s="1">
        <f t="shared" si="5"/>
        <v>34791.799999999996</v>
      </c>
    </row>
    <row r="92" spans="1:14" x14ac:dyDescent="0.3">
      <c r="A92" s="28" t="s">
        <v>1428</v>
      </c>
      <c r="B92" t="s">
        <v>32</v>
      </c>
      <c r="C92">
        <v>2015</v>
      </c>
      <c r="D92" s="28" t="s">
        <v>1428</v>
      </c>
      <c r="E92" t="s">
        <v>18</v>
      </c>
      <c r="F92" t="s">
        <v>32</v>
      </c>
      <c r="G92" t="s">
        <v>31</v>
      </c>
      <c r="H92" s="28" t="str">
        <f t="shared" si="4"/>
        <v>H153 Gespecialiseerde begeleiding (psy) H153</v>
      </c>
      <c r="I92" s="28">
        <v>96.37</v>
      </c>
      <c r="J92" t="s">
        <v>31</v>
      </c>
      <c r="K92" t="s">
        <v>31</v>
      </c>
      <c r="L92">
        <v>96.37</v>
      </c>
      <c r="N92" s="1">
        <f t="shared" si="5"/>
        <v>35175.050000000003</v>
      </c>
    </row>
    <row r="93" spans="1:14" x14ac:dyDescent="0.3">
      <c r="A93" s="28" t="s">
        <v>1428</v>
      </c>
      <c r="B93" t="s">
        <v>504</v>
      </c>
      <c r="C93">
        <v>2015</v>
      </c>
      <c r="D93" s="28" t="s">
        <v>1428</v>
      </c>
      <c r="E93" t="s">
        <v>18</v>
      </c>
      <c r="F93" t="s">
        <v>504</v>
      </c>
      <c r="G93" t="s">
        <v>503</v>
      </c>
      <c r="H93" s="28" t="str">
        <f t="shared" si="4"/>
        <v>H301 Begeleiding ZG visueel H301</v>
      </c>
      <c r="I93" s="28">
        <v>100.7</v>
      </c>
      <c r="J93" t="s">
        <v>503</v>
      </c>
      <c r="K93" t="s">
        <v>503</v>
      </c>
      <c r="L93">
        <v>100.7</v>
      </c>
      <c r="N93" s="1">
        <f t="shared" si="5"/>
        <v>36755.5</v>
      </c>
    </row>
    <row r="94" spans="1:14" x14ac:dyDescent="0.3">
      <c r="A94" s="28" t="s">
        <v>1297</v>
      </c>
      <c r="B94" t="s">
        <v>536</v>
      </c>
      <c r="C94">
        <v>2015</v>
      </c>
      <c r="D94" s="28" t="s">
        <v>1297</v>
      </c>
      <c r="E94" t="s">
        <v>6</v>
      </c>
      <c r="F94" t="s">
        <v>536</v>
      </c>
      <c r="G94" t="s">
        <v>535</v>
      </c>
      <c r="H94" s="28" t="str">
        <f t="shared" si="4"/>
        <v>H816 Dagactiviteit VG kind zwaar H816</v>
      </c>
      <c r="I94" s="28">
        <v>102.76</v>
      </c>
      <c r="J94" t="s">
        <v>535</v>
      </c>
      <c r="K94" t="s">
        <v>535</v>
      </c>
      <c r="L94">
        <v>102.76</v>
      </c>
      <c r="N94" s="1">
        <f t="shared" si="5"/>
        <v>37507.4</v>
      </c>
    </row>
    <row r="95" spans="1:14" x14ac:dyDescent="0.3">
      <c r="A95" s="28" t="s">
        <v>1297</v>
      </c>
      <c r="B95" t="s">
        <v>556</v>
      </c>
      <c r="C95">
        <v>2015</v>
      </c>
      <c r="D95" s="28" t="s">
        <v>1297</v>
      </c>
      <c r="E95" t="s">
        <v>6</v>
      </c>
      <c r="F95" t="s">
        <v>556</v>
      </c>
      <c r="G95" t="s">
        <v>555</v>
      </c>
      <c r="H95" s="28" t="str">
        <f t="shared" si="4"/>
        <v>H818 Dagactiviteit VG kind gedrag H818</v>
      </c>
      <c r="I95" s="28">
        <v>102.76</v>
      </c>
      <c r="J95" t="s">
        <v>555</v>
      </c>
      <c r="K95" t="s">
        <v>555</v>
      </c>
      <c r="L95">
        <v>102.76</v>
      </c>
      <c r="N95" s="1">
        <f t="shared" si="5"/>
        <v>37507.4</v>
      </c>
    </row>
    <row r="96" spans="1:14" x14ac:dyDescent="0.3">
      <c r="A96" s="28" t="s">
        <v>1295</v>
      </c>
      <c r="B96" t="s">
        <v>431</v>
      </c>
      <c r="C96">
        <v>2015</v>
      </c>
      <c r="D96" s="28" t="s">
        <v>1295</v>
      </c>
      <c r="E96" t="s">
        <v>394</v>
      </c>
      <c r="F96" t="s">
        <v>431</v>
      </c>
      <c r="G96" t="s">
        <v>430</v>
      </c>
      <c r="H96" s="28" t="str">
        <f t="shared" si="4"/>
        <v>H334 Behandeling IOG (j)lvg H334</v>
      </c>
      <c r="I96" s="28">
        <v>106.38</v>
      </c>
      <c r="J96" t="s">
        <v>430</v>
      </c>
      <c r="K96" t="s">
        <v>430</v>
      </c>
      <c r="L96">
        <v>106.38</v>
      </c>
      <c r="N96" s="1">
        <f t="shared" si="5"/>
        <v>38828.699999999997</v>
      </c>
    </row>
    <row r="97" spans="1:14" x14ac:dyDescent="0.3">
      <c r="A97" s="28" t="s">
        <v>1428</v>
      </c>
      <c r="B97" t="s">
        <v>562</v>
      </c>
      <c r="C97">
        <v>2015</v>
      </c>
      <c r="D97" s="28" t="s">
        <v>1428</v>
      </c>
      <c r="E97" t="s">
        <v>18</v>
      </c>
      <c r="F97" t="s">
        <v>562</v>
      </c>
      <c r="G97" t="s">
        <v>561</v>
      </c>
      <c r="H97" s="28" t="str">
        <f t="shared" si="4"/>
        <v>H304 Begeleiding speciaal 2 (auditief) H304</v>
      </c>
      <c r="I97" s="28">
        <v>107.18</v>
      </c>
      <c r="J97" t="s">
        <v>561</v>
      </c>
      <c r="K97" t="s">
        <v>561</v>
      </c>
      <c r="L97">
        <v>107.18</v>
      </c>
      <c r="N97" s="1">
        <f t="shared" si="5"/>
        <v>39120.700000000004</v>
      </c>
    </row>
    <row r="98" spans="1:14" x14ac:dyDescent="0.3">
      <c r="A98" s="28" t="s">
        <v>1295</v>
      </c>
      <c r="B98" t="s">
        <v>395</v>
      </c>
      <c r="C98">
        <v>2015</v>
      </c>
      <c r="D98" s="28" t="s">
        <v>1295</v>
      </c>
      <c r="E98" t="s">
        <v>394</v>
      </c>
      <c r="F98" t="s">
        <v>395</v>
      </c>
      <c r="G98" t="s">
        <v>393</v>
      </c>
      <c r="H98" s="28" t="str">
        <f t="shared" ref="H98:H110" si="6">CONCATENATE(F98," ",G98)</f>
        <v>H325 Behandeling basis jlvg H325</v>
      </c>
      <c r="I98" s="28">
        <v>117.08</v>
      </c>
      <c r="J98" t="s">
        <v>393</v>
      </c>
      <c r="K98" t="s">
        <v>393</v>
      </c>
      <c r="L98">
        <v>117.08</v>
      </c>
      <c r="N98" s="1">
        <f t="shared" ref="N98:N110" si="7">SUM(L98:M98)*365</f>
        <v>42734.2</v>
      </c>
    </row>
    <row r="99" spans="1:14" x14ac:dyDescent="0.3">
      <c r="A99" s="28" t="s">
        <v>1295</v>
      </c>
      <c r="B99" t="s">
        <v>419</v>
      </c>
      <c r="C99">
        <v>2015</v>
      </c>
      <c r="D99" s="28" t="s">
        <v>1295</v>
      </c>
      <c r="E99" t="s">
        <v>394</v>
      </c>
      <c r="F99" t="s">
        <v>419</v>
      </c>
      <c r="G99" t="s">
        <v>418</v>
      </c>
      <c r="H99" s="28" t="str">
        <f t="shared" si="6"/>
        <v>H326 Behandeling basis sglvg traject H326</v>
      </c>
      <c r="I99" s="28">
        <v>117.08</v>
      </c>
      <c r="J99" t="s">
        <v>418</v>
      </c>
      <c r="K99" t="s">
        <v>418</v>
      </c>
      <c r="L99">
        <v>117.08</v>
      </c>
      <c r="N99" s="1">
        <f t="shared" si="7"/>
        <v>42734.2</v>
      </c>
    </row>
    <row r="100" spans="1:14" x14ac:dyDescent="0.3">
      <c r="A100" s="28" t="s">
        <v>1295</v>
      </c>
      <c r="B100" t="s">
        <v>411</v>
      </c>
      <c r="C100">
        <v>2015</v>
      </c>
      <c r="D100" s="28" t="s">
        <v>1295</v>
      </c>
      <c r="E100" t="s">
        <v>394</v>
      </c>
      <c r="F100" t="s">
        <v>411</v>
      </c>
      <c r="G100" t="s">
        <v>410</v>
      </c>
      <c r="H100" s="28" t="str">
        <f t="shared" si="6"/>
        <v>H327 Behandeling basis sglvg deeltijd H327</v>
      </c>
      <c r="I100" s="28">
        <v>117.08</v>
      </c>
      <c r="J100" t="s">
        <v>410</v>
      </c>
      <c r="K100" t="s">
        <v>410</v>
      </c>
      <c r="L100">
        <v>117.08</v>
      </c>
      <c r="N100" s="1">
        <f t="shared" si="7"/>
        <v>42734.2</v>
      </c>
    </row>
    <row r="101" spans="1:14" x14ac:dyDescent="0.3">
      <c r="A101" s="28" t="s">
        <v>1295</v>
      </c>
      <c r="B101" t="s">
        <v>433</v>
      </c>
      <c r="C101">
        <v>2015</v>
      </c>
      <c r="D101" s="28" t="s">
        <v>1295</v>
      </c>
      <c r="E101" t="s">
        <v>394</v>
      </c>
      <c r="F101" t="s">
        <v>433</v>
      </c>
      <c r="G101" t="s">
        <v>432</v>
      </c>
      <c r="H101" s="28" t="str">
        <f t="shared" si="6"/>
        <v>H328 Behandeling basis som, pg, vg, lg H328</v>
      </c>
      <c r="I101" s="28">
        <v>117.08</v>
      </c>
      <c r="J101" t="s">
        <v>432</v>
      </c>
      <c r="K101" t="s">
        <v>432</v>
      </c>
      <c r="L101">
        <v>117.08</v>
      </c>
      <c r="N101" s="1">
        <f t="shared" si="7"/>
        <v>42734.2</v>
      </c>
    </row>
    <row r="102" spans="1:14" x14ac:dyDescent="0.3">
      <c r="A102" s="28" t="s">
        <v>1295</v>
      </c>
      <c r="B102" t="s">
        <v>403</v>
      </c>
      <c r="C102">
        <v>2015</v>
      </c>
      <c r="D102" s="28" t="s">
        <v>1295</v>
      </c>
      <c r="E102" t="s">
        <v>394</v>
      </c>
      <c r="F102" t="s">
        <v>403</v>
      </c>
      <c r="G102" t="s">
        <v>402</v>
      </c>
      <c r="H102" s="28" t="str">
        <f t="shared" si="6"/>
        <v>H329 Behandeling gedragswetenschapper H329</v>
      </c>
      <c r="I102" s="28">
        <v>117.08</v>
      </c>
      <c r="J102" t="s">
        <v>402</v>
      </c>
      <c r="K102" t="s">
        <v>402</v>
      </c>
      <c r="L102">
        <v>117.08</v>
      </c>
      <c r="N102" s="1">
        <f t="shared" si="7"/>
        <v>42734.2</v>
      </c>
    </row>
    <row r="103" spans="1:14" x14ac:dyDescent="0.3">
      <c r="A103" s="28" t="s">
        <v>1297</v>
      </c>
      <c r="B103" t="s">
        <v>399</v>
      </c>
      <c r="C103">
        <v>2015</v>
      </c>
      <c r="D103" s="28" t="s">
        <v>1297</v>
      </c>
      <c r="E103" t="s">
        <v>6</v>
      </c>
      <c r="F103" t="s">
        <v>399</v>
      </c>
      <c r="G103" t="s">
        <v>398</v>
      </c>
      <c r="H103" s="28" t="str">
        <f t="shared" si="6"/>
        <v>H817 Dagbehandeling VG kind emg H817</v>
      </c>
      <c r="I103" s="28">
        <v>121.39</v>
      </c>
      <c r="J103" t="s">
        <v>398</v>
      </c>
      <c r="K103" t="s">
        <v>398</v>
      </c>
      <c r="L103">
        <v>121.39</v>
      </c>
      <c r="N103" s="1">
        <f t="shared" si="7"/>
        <v>44307.35</v>
      </c>
    </row>
    <row r="104" spans="1:14" x14ac:dyDescent="0.3">
      <c r="A104" s="28" t="s">
        <v>1297</v>
      </c>
      <c r="B104" t="s">
        <v>390</v>
      </c>
      <c r="C104">
        <v>2015</v>
      </c>
      <c r="D104" s="28" t="s">
        <v>1297</v>
      </c>
      <c r="E104" t="s">
        <v>6</v>
      </c>
      <c r="F104" t="s">
        <v>390</v>
      </c>
      <c r="G104" t="s">
        <v>389</v>
      </c>
      <c r="H104" s="28" t="str">
        <f t="shared" si="6"/>
        <v>H821 Dagbehandeling VG kind zwaar H821</v>
      </c>
      <c r="I104" s="28">
        <v>121.39</v>
      </c>
      <c r="J104" t="s">
        <v>389</v>
      </c>
      <c r="K104" t="s">
        <v>389</v>
      </c>
      <c r="L104">
        <v>121.39</v>
      </c>
      <c r="N104" s="1">
        <f t="shared" si="7"/>
        <v>44307.35</v>
      </c>
    </row>
    <row r="105" spans="1:14" x14ac:dyDescent="0.3">
      <c r="A105" s="28" t="s">
        <v>1295</v>
      </c>
      <c r="B105" t="s">
        <v>397</v>
      </c>
      <c r="C105">
        <v>2015</v>
      </c>
      <c r="D105" s="28" t="s">
        <v>1295</v>
      </c>
      <c r="E105" t="s">
        <v>394</v>
      </c>
      <c r="F105" t="s">
        <v>397</v>
      </c>
      <c r="G105" t="s">
        <v>396</v>
      </c>
      <c r="H105" s="28" t="str">
        <f t="shared" si="6"/>
        <v>H331 Behandeling Families First (j)lvg H331</v>
      </c>
      <c r="I105" s="28">
        <v>122.39</v>
      </c>
      <c r="J105" t="s">
        <v>396</v>
      </c>
      <c r="K105" t="s">
        <v>396</v>
      </c>
      <c r="L105">
        <v>122.39</v>
      </c>
      <c r="N105" s="1">
        <f t="shared" si="7"/>
        <v>44672.35</v>
      </c>
    </row>
    <row r="106" spans="1:14" x14ac:dyDescent="0.3">
      <c r="A106" s="28" t="s">
        <v>1428</v>
      </c>
      <c r="B106" t="s">
        <v>486</v>
      </c>
      <c r="C106">
        <v>2015</v>
      </c>
      <c r="D106" s="28" t="s">
        <v>1428</v>
      </c>
      <c r="E106" t="s">
        <v>18</v>
      </c>
      <c r="F106" t="s">
        <v>486</v>
      </c>
      <c r="G106" t="s">
        <v>485</v>
      </c>
      <c r="H106" s="28" t="str">
        <f t="shared" si="6"/>
        <v>H302 Begeleiding speciaal 2 (visueel) H302</v>
      </c>
      <c r="I106" s="28">
        <v>123.79</v>
      </c>
      <c r="J106" t="s">
        <v>485</v>
      </c>
      <c r="K106" t="s">
        <v>485</v>
      </c>
      <c r="L106">
        <v>123.79</v>
      </c>
      <c r="N106" s="1">
        <f t="shared" si="7"/>
        <v>45183.350000000006</v>
      </c>
    </row>
    <row r="107" spans="1:14" x14ac:dyDescent="0.3">
      <c r="A107" s="28" t="s">
        <v>1297</v>
      </c>
      <c r="B107" t="s">
        <v>415</v>
      </c>
      <c r="C107">
        <v>2015</v>
      </c>
      <c r="D107" s="28" t="s">
        <v>1297</v>
      </c>
      <c r="E107" t="s">
        <v>6</v>
      </c>
      <c r="F107" t="s">
        <v>415</v>
      </c>
      <c r="G107" t="s">
        <v>414</v>
      </c>
      <c r="H107" s="28" t="str">
        <f t="shared" si="6"/>
        <v>H891 Dagbehandeling JLVG H891</v>
      </c>
      <c r="I107" s="28">
        <v>128.36000000000001</v>
      </c>
      <c r="J107" t="s">
        <v>414</v>
      </c>
      <c r="K107" t="s">
        <v>414</v>
      </c>
      <c r="L107">
        <v>128.36000000000001</v>
      </c>
      <c r="N107" s="1">
        <f t="shared" si="7"/>
        <v>46851.4</v>
      </c>
    </row>
    <row r="108" spans="1:14" x14ac:dyDescent="0.3">
      <c r="A108" s="28" t="s">
        <v>1295</v>
      </c>
      <c r="B108" t="s">
        <v>423</v>
      </c>
      <c r="C108">
        <v>2015</v>
      </c>
      <c r="D108" s="28" t="s">
        <v>1295</v>
      </c>
      <c r="E108" t="s">
        <v>394</v>
      </c>
      <c r="F108" t="s">
        <v>423</v>
      </c>
      <c r="G108" t="s">
        <v>422</v>
      </c>
      <c r="H108" s="28" t="str">
        <f t="shared" si="6"/>
        <v>H333 Behandeling ZG auditief H333</v>
      </c>
      <c r="I108" s="28">
        <v>139.34</v>
      </c>
      <c r="J108" t="s">
        <v>422</v>
      </c>
      <c r="K108" t="s">
        <v>422</v>
      </c>
      <c r="L108">
        <v>139.34</v>
      </c>
      <c r="N108" s="1">
        <f t="shared" si="7"/>
        <v>50859.1</v>
      </c>
    </row>
    <row r="109" spans="1:14" x14ac:dyDescent="0.3">
      <c r="A109" s="28" t="s">
        <v>1297</v>
      </c>
      <c r="B109" t="s">
        <v>401</v>
      </c>
      <c r="C109">
        <v>2015</v>
      </c>
      <c r="D109" s="28" t="s">
        <v>1297</v>
      </c>
      <c r="E109" t="s">
        <v>6</v>
      </c>
      <c r="F109" t="s">
        <v>401</v>
      </c>
      <c r="G109" t="s">
        <v>400</v>
      </c>
      <c r="H109" s="28" t="str">
        <f t="shared" si="6"/>
        <v>H822 Dagbehandeling VG kind gedrag H822</v>
      </c>
      <c r="I109" s="28">
        <v>147.47</v>
      </c>
      <c r="J109" t="s">
        <v>400</v>
      </c>
      <c r="K109" t="s">
        <v>400</v>
      </c>
      <c r="L109">
        <v>147.47</v>
      </c>
      <c r="N109" s="1">
        <f t="shared" si="7"/>
        <v>53826.55</v>
      </c>
    </row>
    <row r="110" spans="1:14" x14ac:dyDescent="0.3">
      <c r="A110" s="28" t="s">
        <v>1295</v>
      </c>
      <c r="B110" t="s">
        <v>421</v>
      </c>
      <c r="C110">
        <v>2015</v>
      </c>
      <c r="D110" s="28" t="s">
        <v>1295</v>
      </c>
      <c r="E110" t="s">
        <v>394</v>
      </c>
      <c r="F110" t="s">
        <v>421</v>
      </c>
      <c r="G110" t="s">
        <v>420</v>
      </c>
      <c r="H110" s="28" t="str">
        <f t="shared" si="6"/>
        <v>H332 Behandeling ZG visueel H332</v>
      </c>
      <c r="I110" s="28">
        <v>155.15</v>
      </c>
      <c r="J110" t="s">
        <v>420</v>
      </c>
      <c r="K110" t="s">
        <v>420</v>
      </c>
      <c r="L110">
        <v>155.15</v>
      </c>
      <c r="N110" s="1">
        <f t="shared" si="7"/>
        <v>56629.75</v>
      </c>
    </row>
  </sheetData>
  <sortState ref="A2:N110">
    <sortCondition ref="I1"/>
  </sortState>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J109"/>
  <sheetViews>
    <sheetView topLeftCell="D1" workbookViewId="0">
      <selection activeCell="L19" sqref="L19"/>
    </sheetView>
  </sheetViews>
  <sheetFormatPr defaultRowHeight="14.4" x14ac:dyDescent="0.3"/>
  <cols>
    <col min="1" max="1" width="8.5546875" bestFit="1" customWidth="1"/>
    <col min="2" max="2" width="11.6640625" bestFit="1" customWidth="1"/>
    <col min="3" max="3" width="13.44140625" bestFit="1" customWidth="1"/>
    <col min="4" max="4" width="31.6640625" bestFit="1" customWidth="1"/>
    <col min="5" max="5" width="26.6640625" bestFit="1" customWidth="1"/>
    <col min="6" max="6" width="48.33203125" bestFit="1" customWidth="1"/>
    <col min="7" max="7" width="8.44140625" bestFit="1" customWidth="1"/>
    <col min="8" max="8" width="15.33203125" bestFit="1" customWidth="1"/>
    <col min="9" max="9" width="8.6640625" bestFit="1" customWidth="1"/>
    <col min="10" max="10" width="10" bestFit="1" customWidth="1"/>
  </cols>
  <sheetData>
    <row r="1" spans="1:10" ht="15" x14ac:dyDescent="0.25">
      <c r="A1" t="s">
        <v>2</v>
      </c>
      <c r="B1" t="s">
        <v>1</v>
      </c>
      <c r="C1" t="s">
        <v>4</v>
      </c>
      <c r="D1" t="s">
        <v>0</v>
      </c>
      <c r="E1" t="s">
        <v>0</v>
      </c>
      <c r="F1" t="s">
        <v>699</v>
      </c>
      <c r="G1" t="s">
        <v>1147</v>
      </c>
      <c r="H1" t="s">
        <v>3</v>
      </c>
      <c r="I1" t="s">
        <v>577</v>
      </c>
      <c r="J1" t="s">
        <v>578</v>
      </c>
    </row>
    <row r="2" spans="1:10" ht="15" x14ac:dyDescent="0.25">
      <c r="A2">
        <v>2015</v>
      </c>
      <c r="B2" t="s">
        <v>47</v>
      </c>
      <c r="C2" t="s">
        <v>245</v>
      </c>
      <c r="D2" t="s">
        <v>244</v>
      </c>
      <c r="E2" t="s">
        <v>645</v>
      </c>
      <c r="F2" t="s">
        <v>1151</v>
      </c>
      <c r="G2" t="s">
        <v>47</v>
      </c>
      <c r="H2">
        <v>65.28</v>
      </c>
      <c r="J2">
        <v>23827.200000000001</v>
      </c>
    </row>
    <row r="3" spans="1:10" ht="15" x14ac:dyDescent="0.25">
      <c r="A3">
        <v>2015</v>
      </c>
      <c r="B3" t="s">
        <v>47</v>
      </c>
      <c r="C3" t="s">
        <v>136</v>
      </c>
      <c r="D3" t="s">
        <v>135</v>
      </c>
      <c r="E3" t="s">
        <v>646</v>
      </c>
      <c r="F3" t="s">
        <v>1152</v>
      </c>
      <c r="G3" t="s">
        <v>47</v>
      </c>
      <c r="H3">
        <v>82.93</v>
      </c>
      <c r="J3">
        <v>30269.45</v>
      </c>
    </row>
    <row r="4" spans="1:10" ht="15" x14ac:dyDescent="0.25">
      <c r="A4">
        <v>2015</v>
      </c>
      <c r="B4" t="s">
        <v>47</v>
      </c>
      <c r="C4" t="s">
        <v>210</v>
      </c>
      <c r="D4" t="s">
        <v>209</v>
      </c>
      <c r="E4" t="s">
        <v>647</v>
      </c>
      <c r="F4" t="s">
        <v>1153</v>
      </c>
      <c r="G4" t="s">
        <v>47</v>
      </c>
      <c r="H4">
        <v>99.99</v>
      </c>
      <c r="J4">
        <v>36496.35</v>
      </c>
    </row>
    <row r="5" spans="1:10" ht="15" x14ac:dyDescent="0.25">
      <c r="A5">
        <v>2015</v>
      </c>
      <c r="B5" t="s">
        <v>47</v>
      </c>
      <c r="C5" t="s">
        <v>291</v>
      </c>
      <c r="D5" t="s">
        <v>290</v>
      </c>
      <c r="E5" t="s">
        <v>648</v>
      </c>
      <c r="F5" t="s">
        <v>1154</v>
      </c>
      <c r="G5" t="s">
        <v>47</v>
      </c>
      <c r="H5">
        <v>119.61</v>
      </c>
      <c r="J5">
        <v>43657.65</v>
      </c>
    </row>
    <row r="6" spans="1:10" ht="15" x14ac:dyDescent="0.25">
      <c r="A6">
        <v>2015</v>
      </c>
      <c r="B6" t="s">
        <v>47</v>
      </c>
      <c r="C6" t="s">
        <v>54</v>
      </c>
      <c r="D6" t="s">
        <v>53</v>
      </c>
      <c r="E6" t="s">
        <v>649</v>
      </c>
      <c r="F6" t="s">
        <v>1155</v>
      </c>
      <c r="G6" t="s">
        <v>47</v>
      </c>
      <c r="H6">
        <v>113.98</v>
      </c>
      <c r="J6">
        <v>41602.700000000004</v>
      </c>
    </row>
    <row r="7" spans="1:10" ht="15" x14ac:dyDescent="0.25">
      <c r="A7">
        <v>2015</v>
      </c>
      <c r="B7" t="s">
        <v>47</v>
      </c>
      <c r="C7" t="s">
        <v>167</v>
      </c>
      <c r="D7" t="s">
        <v>166</v>
      </c>
      <c r="E7" t="s">
        <v>650</v>
      </c>
      <c r="F7" t="s">
        <v>1156</v>
      </c>
      <c r="G7" t="s">
        <v>47</v>
      </c>
      <c r="H7">
        <v>133.61000000000001</v>
      </c>
      <c r="J7">
        <v>48767.65</v>
      </c>
    </row>
    <row r="8" spans="1:10" ht="15" x14ac:dyDescent="0.25">
      <c r="A8">
        <v>2015</v>
      </c>
      <c r="B8" t="s">
        <v>47</v>
      </c>
      <c r="C8" t="s">
        <v>107</v>
      </c>
      <c r="D8" t="s">
        <v>106</v>
      </c>
      <c r="E8" t="s">
        <v>651</v>
      </c>
      <c r="F8" t="s">
        <v>1157</v>
      </c>
      <c r="G8" t="s">
        <v>47</v>
      </c>
      <c r="H8">
        <v>157.28</v>
      </c>
      <c r="J8">
        <v>57407.199999999997</v>
      </c>
    </row>
    <row r="9" spans="1:10" ht="15" x14ac:dyDescent="0.25">
      <c r="A9">
        <v>2015</v>
      </c>
      <c r="B9" t="s">
        <v>47</v>
      </c>
      <c r="C9" t="s">
        <v>378</v>
      </c>
      <c r="D9" t="s">
        <v>377</v>
      </c>
      <c r="E9" t="s">
        <v>652</v>
      </c>
      <c r="F9" t="s">
        <v>1158</v>
      </c>
      <c r="G9" t="s">
        <v>47</v>
      </c>
      <c r="H9">
        <v>178.43</v>
      </c>
      <c r="J9">
        <v>65126.950000000004</v>
      </c>
    </row>
    <row r="10" spans="1:10" ht="15" x14ac:dyDescent="0.25">
      <c r="A10">
        <v>2015</v>
      </c>
      <c r="B10" t="s">
        <v>47</v>
      </c>
      <c r="C10" t="s">
        <v>263</v>
      </c>
      <c r="D10" t="s">
        <v>262</v>
      </c>
      <c r="E10" t="s">
        <v>653</v>
      </c>
      <c r="F10" t="s">
        <v>1159</v>
      </c>
      <c r="G10" t="s">
        <v>47</v>
      </c>
      <c r="H10">
        <v>157.26</v>
      </c>
      <c r="J10">
        <v>57399.899999999994</v>
      </c>
    </row>
    <row r="11" spans="1:10" ht="15" x14ac:dyDescent="0.25">
      <c r="A11">
        <v>2015</v>
      </c>
      <c r="B11" t="s">
        <v>47</v>
      </c>
      <c r="C11" t="s">
        <v>340</v>
      </c>
      <c r="D11" t="s">
        <v>339</v>
      </c>
      <c r="E11" t="s">
        <v>654</v>
      </c>
      <c r="F11" t="s">
        <v>1160</v>
      </c>
      <c r="G11" t="s">
        <v>47</v>
      </c>
      <c r="H11">
        <v>178.4</v>
      </c>
      <c r="J11">
        <v>65116</v>
      </c>
    </row>
    <row r="12" spans="1:10" ht="15" x14ac:dyDescent="0.25">
      <c r="A12">
        <v>2015</v>
      </c>
      <c r="B12" t="s">
        <v>47</v>
      </c>
      <c r="C12" t="s">
        <v>386</v>
      </c>
      <c r="D12" t="s">
        <v>385</v>
      </c>
      <c r="E12" t="s">
        <v>655</v>
      </c>
      <c r="F12" t="s">
        <v>710</v>
      </c>
      <c r="G12" t="s">
        <v>47</v>
      </c>
      <c r="H12">
        <v>184.63</v>
      </c>
      <c r="J12">
        <v>67389.95</v>
      </c>
    </row>
    <row r="13" spans="1:10" ht="15" x14ac:dyDescent="0.25">
      <c r="A13">
        <v>2015</v>
      </c>
      <c r="B13" t="s">
        <v>47</v>
      </c>
      <c r="C13" t="s">
        <v>268</v>
      </c>
      <c r="D13" t="s">
        <v>267</v>
      </c>
      <c r="E13" t="s">
        <v>656</v>
      </c>
      <c r="F13" t="s">
        <v>711</v>
      </c>
      <c r="G13" t="s">
        <v>47</v>
      </c>
      <c r="H13">
        <v>213.26</v>
      </c>
      <c r="J13">
        <v>77839.899999999994</v>
      </c>
    </row>
    <row r="14" spans="1:10" ht="15" x14ac:dyDescent="0.25">
      <c r="A14">
        <v>2015</v>
      </c>
      <c r="B14" t="s">
        <v>47</v>
      </c>
      <c r="C14" t="s">
        <v>306</v>
      </c>
      <c r="D14" t="s">
        <v>305</v>
      </c>
      <c r="E14" t="s">
        <v>657</v>
      </c>
      <c r="F14" t="s">
        <v>714</v>
      </c>
      <c r="G14" t="s">
        <v>47</v>
      </c>
      <c r="H14">
        <v>214.51</v>
      </c>
      <c r="J14">
        <v>78296.149999999994</v>
      </c>
    </row>
    <row r="15" spans="1:10" ht="15" x14ac:dyDescent="0.25">
      <c r="A15">
        <v>2015</v>
      </c>
      <c r="B15" t="s">
        <v>47</v>
      </c>
      <c r="C15" t="s">
        <v>197</v>
      </c>
      <c r="D15" t="s">
        <v>196</v>
      </c>
      <c r="E15" t="s">
        <v>658</v>
      </c>
      <c r="F15" t="s">
        <v>715</v>
      </c>
      <c r="G15" t="s">
        <v>47</v>
      </c>
      <c r="H15">
        <v>243.15</v>
      </c>
      <c r="J15">
        <v>88749.75</v>
      </c>
    </row>
    <row r="16" spans="1:10" ht="15" x14ac:dyDescent="0.25">
      <c r="A16">
        <v>2015</v>
      </c>
      <c r="B16" t="s">
        <v>47</v>
      </c>
      <c r="C16" t="s">
        <v>574</v>
      </c>
      <c r="D16" t="s">
        <v>573</v>
      </c>
      <c r="E16" t="s">
        <v>659</v>
      </c>
      <c r="F16" t="s">
        <v>718</v>
      </c>
      <c r="G16" t="s">
        <v>47</v>
      </c>
      <c r="H16">
        <v>153.15</v>
      </c>
      <c r="J16">
        <v>55899.75</v>
      </c>
    </row>
    <row r="17" spans="1:10" ht="15" x14ac:dyDescent="0.25">
      <c r="A17">
        <v>2015</v>
      </c>
      <c r="B17" t="s">
        <v>47</v>
      </c>
      <c r="C17" t="s">
        <v>576</v>
      </c>
      <c r="D17" t="s">
        <v>575</v>
      </c>
      <c r="E17" t="s">
        <v>660</v>
      </c>
      <c r="F17" t="s">
        <v>719</v>
      </c>
      <c r="G17" t="s">
        <v>47</v>
      </c>
      <c r="H17">
        <v>211.8</v>
      </c>
      <c r="J17">
        <v>77307</v>
      </c>
    </row>
    <row r="18" spans="1:10" ht="15" x14ac:dyDescent="0.25">
      <c r="A18">
        <v>2015</v>
      </c>
      <c r="B18" t="s">
        <v>47</v>
      </c>
      <c r="C18" t="s">
        <v>93</v>
      </c>
      <c r="D18" t="s">
        <v>92</v>
      </c>
      <c r="E18" t="s">
        <v>661</v>
      </c>
      <c r="F18" t="s">
        <v>722</v>
      </c>
      <c r="G18" t="s">
        <v>47</v>
      </c>
      <c r="H18">
        <v>234.3</v>
      </c>
      <c r="J18">
        <v>85519.5</v>
      </c>
    </row>
    <row r="19" spans="1:10" ht="15" x14ac:dyDescent="0.25">
      <c r="A19">
        <v>2015</v>
      </c>
      <c r="B19" t="s">
        <v>47</v>
      </c>
      <c r="C19" t="s">
        <v>188</v>
      </c>
      <c r="D19" t="s">
        <v>187</v>
      </c>
      <c r="E19" t="s">
        <v>662</v>
      </c>
      <c r="F19" t="s">
        <v>723</v>
      </c>
      <c r="G19" t="s">
        <v>47</v>
      </c>
      <c r="H19">
        <v>262.95</v>
      </c>
      <c r="J19">
        <v>95976.75</v>
      </c>
    </row>
    <row r="20" spans="1:10" ht="15" x14ac:dyDescent="0.25">
      <c r="A20">
        <v>2015</v>
      </c>
      <c r="B20" t="s">
        <v>47</v>
      </c>
      <c r="C20" t="s">
        <v>158</v>
      </c>
      <c r="D20" t="s">
        <v>157</v>
      </c>
      <c r="E20" t="s">
        <v>663</v>
      </c>
      <c r="F20" t="s">
        <v>738</v>
      </c>
      <c r="G20" t="s">
        <v>47</v>
      </c>
      <c r="H20">
        <v>64.38</v>
      </c>
      <c r="J20">
        <v>23498.699999999997</v>
      </c>
    </row>
    <row r="21" spans="1:10" ht="15" x14ac:dyDescent="0.25">
      <c r="A21">
        <v>2015</v>
      </c>
      <c r="B21" t="s">
        <v>47</v>
      </c>
      <c r="C21" t="s">
        <v>79</v>
      </c>
      <c r="D21" t="s">
        <v>78</v>
      </c>
      <c r="E21" t="s">
        <v>664</v>
      </c>
      <c r="F21" t="s">
        <v>739</v>
      </c>
      <c r="G21" t="s">
        <v>47</v>
      </c>
      <c r="H21">
        <v>100.33</v>
      </c>
      <c r="J21">
        <v>36620.449999999997</v>
      </c>
    </row>
    <row r="22" spans="1:10" ht="15" x14ac:dyDescent="0.25">
      <c r="A22">
        <v>2015</v>
      </c>
      <c r="B22" t="s">
        <v>47</v>
      </c>
      <c r="C22" t="s">
        <v>252</v>
      </c>
      <c r="D22" t="s">
        <v>251</v>
      </c>
      <c r="E22" t="s">
        <v>665</v>
      </c>
      <c r="F22" t="s">
        <v>742</v>
      </c>
      <c r="G22" t="s">
        <v>47</v>
      </c>
      <c r="H22">
        <v>80.69</v>
      </c>
      <c r="J22">
        <v>29451.85</v>
      </c>
    </row>
    <row r="23" spans="1:10" ht="15" x14ac:dyDescent="0.25">
      <c r="A23">
        <v>2015</v>
      </c>
      <c r="B23" t="s">
        <v>47</v>
      </c>
      <c r="C23" t="s">
        <v>177</v>
      </c>
      <c r="D23" t="s">
        <v>176</v>
      </c>
      <c r="E23" t="s">
        <v>666</v>
      </c>
      <c r="F23" t="s">
        <v>743</v>
      </c>
      <c r="G23" t="s">
        <v>47</v>
      </c>
      <c r="H23">
        <v>116.63</v>
      </c>
      <c r="J23">
        <v>42569.95</v>
      </c>
    </row>
    <row r="24" spans="1:10" ht="15" x14ac:dyDescent="0.25">
      <c r="A24">
        <v>2015</v>
      </c>
      <c r="B24" t="s">
        <v>47</v>
      </c>
      <c r="C24" t="s">
        <v>220</v>
      </c>
      <c r="D24" t="s">
        <v>219</v>
      </c>
      <c r="E24" t="s">
        <v>667</v>
      </c>
      <c r="F24" t="s">
        <v>760</v>
      </c>
      <c r="G24" t="s">
        <v>47</v>
      </c>
      <c r="H24">
        <v>94.49</v>
      </c>
      <c r="J24">
        <v>34488.85</v>
      </c>
    </row>
    <row r="25" spans="1:10" ht="15" x14ac:dyDescent="0.25">
      <c r="A25">
        <v>2015</v>
      </c>
      <c r="B25" t="s">
        <v>47</v>
      </c>
      <c r="C25" t="s">
        <v>266</v>
      </c>
      <c r="D25" t="s">
        <v>265</v>
      </c>
      <c r="E25" t="s">
        <v>668</v>
      </c>
      <c r="F25" t="s">
        <v>761</v>
      </c>
      <c r="G25" t="s">
        <v>47</v>
      </c>
      <c r="H25">
        <v>130.44999999999999</v>
      </c>
      <c r="J25">
        <v>47614.249999999993</v>
      </c>
    </row>
    <row r="26" spans="1:10" ht="15" x14ac:dyDescent="0.25">
      <c r="A26">
        <v>2015</v>
      </c>
      <c r="B26" t="s">
        <v>47</v>
      </c>
      <c r="C26" t="s">
        <v>235</v>
      </c>
      <c r="D26" t="s">
        <v>234</v>
      </c>
      <c r="E26" t="s">
        <v>669</v>
      </c>
      <c r="F26" t="s">
        <v>762</v>
      </c>
      <c r="G26" t="s">
        <v>47</v>
      </c>
      <c r="H26">
        <v>103.39</v>
      </c>
      <c r="J26">
        <v>37737.35</v>
      </c>
    </row>
    <row r="27" spans="1:10" x14ac:dyDescent="0.3">
      <c r="A27">
        <v>2015</v>
      </c>
      <c r="B27" t="s">
        <v>47</v>
      </c>
      <c r="C27" t="s">
        <v>300</v>
      </c>
      <c r="D27" t="s">
        <v>299</v>
      </c>
      <c r="E27" t="s">
        <v>670</v>
      </c>
      <c r="F27" t="s">
        <v>763</v>
      </c>
      <c r="G27" t="s">
        <v>47</v>
      </c>
      <c r="H27">
        <v>139.35</v>
      </c>
      <c r="J27">
        <v>50862.75</v>
      </c>
    </row>
    <row r="28" spans="1:10" x14ac:dyDescent="0.3">
      <c r="A28">
        <v>2015</v>
      </c>
      <c r="B28" t="s">
        <v>47</v>
      </c>
      <c r="C28" t="s">
        <v>275</v>
      </c>
      <c r="D28" t="s">
        <v>274</v>
      </c>
      <c r="E28" t="s">
        <v>671</v>
      </c>
      <c r="F28" t="s">
        <v>769</v>
      </c>
      <c r="G28" t="s">
        <v>47</v>
      </c>
      <c r="H28">
        <v>107.2</v>
      </c>
      <c r="J28">
        <v>39128</v>
      </c>
    </row>
    <row r="29" spans="1:10" x14ac:dyDescent="0.3">
      <c r="A29">
        <v>2015</v>
      </c>
      <c r="B29" t="s">
        <v>47</v>
      </c>
      <c r="C29" t="s">
        <v>231</v>
      </c>
      <c r="D29" t="s">
        <v>230</v>
      </c>
      <c r="E29" t="s">
        <v>672</v>
      </c>
      <c r="F29" t="s">
        <v>770</v>
      </c>
      <c r="G29" t="s">
        <v>47</v>
      </c>
      <c r="H29">
        <v>143.13</v>
      </c>
      <c r="J29">
        <v>52242.45</v>
      </c>
    </row>
    <row r="30" spans="1:10" x14ac:dyDescent="0.3">
      <c r="A30">
        <v>2015</v>
      </c>
      <c r="B30" t="s">
        <v>47</v>
      </c>
      <c r="C30" t="s">
        <v>318</v>
      </c>
      <c r="D30" t="s">
        <v>317</v>
      </c>
      <c r="E30" t="s">
        <v>673</v>
      </c>
      <c r="F30" t="s">
        <v>771</v>
      </c>
      <c r="G30" t="s">
        <v>47</v>
      </c>
      <c r="H30">
        <v>117.7</v>
      </c>
      <c r="J30">
        <v>42960.5</v>
      </c>
    </row>
    <row r="31" spans="1:10" x14ac:dyDescent="0.3">
      <c r="A31">
        <v>2015</v>
      </c>
      <c r="B31" t="s">
        <v>47</v>
      </c>
      <c r="C31" t="s">
        <v>105</v>
      </c>
      <c r="D31" t="s">
        <v>104</v>
      </c>
      <c r="E31" t="s">
        <v>674</v>
      </c>
      <c r="F31" t="s">
        <v>772</v>
      </c>
      <c r="G31" t="s">
        <v>47</v>
      </c>
      <c r="H31">
        <v>153.65</v>
      </c>
      <c r="J31">
        <v>56082.25</v>
      </c>
    </row>
    <row r="32" spans="1:10" x14ac:dyDescent="0.3">
      <c r="A32">
        <v>2015</v>
      </c>
      <c r="B32" t="s">
        <v>47</v>
      </c>
      <c r="C32" t="s">
        <v>288</v>
      </c>
      <c r="D32" t="s">
        <v>287</v>
      </c>
      <c r="E32" t="s">
        <v>675</v>
      </c>
      <c r="F32" t="s">
        <v>777</v>
      </c>
      <c r="G32" t="s">
        <v>47</v>
      </c>
      <c r="H32">
        <v>129.13999999999999</v>
      </c>
      <c r="J32">
        <v>47136.1</v>
      </c>
    </row>
    <row r="33" spans="1:10" x14ac:dyDescent="0.3">
      <c r="A33">
        <v>2015</v>
      </c>
      <c r="B33" t="s">
        <v>47</v>
      </c>
      <c r="C33" t="s">
        <v>366</v>
      </c>
      <c r="D33" t="s">
        <v>365</v>
      </c>
      <c r="E33" t="s">
        <v>676</v>
      </c>
      <c r="F33" t="s">
        <v>778</v>
      </c>
      <c r="G33" t="s">
        <v>47</v>
      </c>
      <c r="H33">
        <v>178.29</v>
      </c>
      <c r="J33">
        <v>65075.85</v>
      </c>
    </row>
    <row r="34" spans="1:10" x14ac:dyDescent="0.3">
      <c r="A34">
        <v>2015</v>
      </c>
      <c r="B34" t="s">
        <v>47</v>
      </c>
      <c r="C34" t="s">
        <v>202</v>
      </c>
      <c r="D34" t="s">
        <v>201</v>
      </c>
      <c r="E34" t="s">
        <v>677</v>
      </c>
      <c r="F34" t="s">
        <v>779</v>
      </c>
      <c r="G34" t="s">
        <v>47</v>
      </c>
      <c r="H34">
        <v>144.35</v>
      </c>
      <c r="J34">
        <v>52687.75</v>
      </c>
    </row>
    <row r="35" spans="1:10" x14ac:dyDescent="0.3">
      <c r="A35">
        <v>2015</v>
      </c>
      <c r="B35" t="s">
        <v>47</v>
      </c>
      <c r="C35" t="s">
        <v>350</v>
      </c>
      <c r="D35" t="s">
        <v>349</v>
      </c>
      <c r="E35" t="s">
        <v>678</v>
      </c>
      <c r="F35" t="s">
        <v>780</v>
      </c>
      <c r="G35" t="s">
        <v>47</v>
      </c>
      <c r="H35">
        <v>193.54</v>
      </c>
      <c r="J35">
        <v>70642.099999999991</v>
      </c>
    </row>
    <row r="36" spans="1:10" x14ac:dyDescent="0.3">
      <c r="A36">
        <v>2015</v>
      </c>
      <c r="B36" t="s">
        <v>47</v>
      </c>
      <c r="C36" t="s">
        <v>310</v>
      </c>
      <c r="D36" t="s">
        <v>309</v>
      </c>
      <c r="E36" t="s">
        <v>679</v>
      </c>
      <c r="F36" t="s">
        <v>786</v>
      </c>
      <c r="G36" t="s">
        <v>47</v>
      </c>
      <c r="H36">
        <v>122.45</v>
      </c>
      <c r="J36">
        <v>44694.25</v>
      </c>
    </row>
    <row r="37" spans="1:10" x14ac:dyDescent="0.3">
      <c r="A37">
        <v>2015</v>
      </c>
      <c r="B37" t="s">
        <v>47</v>
      </c>
      <c r="C37" t="s">
        <v>102</v>
      </c>
      <c r="D37" t="s">
        <v>101</v>
      </c>
      <c r="E37" t="s">
        <v>680</v>
      </c>
      <c r="F37" t="s">
        <v>787</v>
      </c>
      <c r="G37" t="s">
        <v>47</v>
      </c>
      <c r="H37">
        <v>171.62</v>
      </c>
      <c r="J37">
        <v>62641.3</v>
      </c>
    </row>
    <row r="38" spans="1:10" x14ac:dyDescent="0.3">
      <c r="A38">
        <v>2015</v>
      </c>
      <c r="B38" t="s">
        <v>47</v>
      </c>
      <c r="C38" t="s">
        <v>64</v>
      </c>
      <c r="D38" t="s">
        <v>63</v>
      </c>
      <c r="E38" t="s">
        <v>681</v>
      </c>
      <c r="F38" t="s">
        <v>788</v>
      </c>
      <c r="G38" t="s">
        <v>47</v>
      </c>
      <c r="H38">
        <v>138.53</v>
      </c>
      <c r="J38">
        <v>50563.45</v>
      </c>
    </row>
    <row r="39" spans="1:10" x14ac:dyDescent="0.3">
      <c r="A39">
        <v>2015</v>
      </c>
      <c r="B39" t="s">
        <v>47</v>
      </c>
      <c r="C39" t="s">
        <v>223</v>
      </c>
      <c r="D39" t="s">
        <v>222</v>
      </c>
      <c r="E39" t="s">
        <v>682</v>
      </c>
      <c r="F39" t="s">
        <v>789</v>
      </c>
      <c r="G39" t="s">
        <v>47</v>
      </c>
      <c r="H39">
        <v>187.71</v>
      </c>
      <c r="J39">
        <v>68514.150000000009</v>
      </c>
    </row>
    <row r="40" spans="1:10" x14ac:dyDescent="0.3">
      <c r="A40">
        <v>2015</v>
      </c>
      <c r="B40" t="s">
        <v>47</v>
      </c>
      <c r="C40" t="s">
        <v>147</v>
      </c>
      <c r="D40" t="s">
        <v>146</v>
      </c>
      <c r="E40" t="s">
        <v>683</v>
      </c>
      <c r="F40" t="s">
        <v>795</v>
      </c>
      <c r="G40" t="s">
        <v>47</v>
      </c>
      <c r="H40">
        <v>158.63999999999999</v>
      </c>
      <c r="J40">
        <v>57903.6</v>
      </c>
    </row>
    <row r="41" spans="1:10" x14ac:dyDescent="0.3">
      <c r="A41">
        <v>2015</v>
      </c>
      <c r="B41" t="s">
        <v>47</v>
      </c>
      <c r="C41" t="s">
        <v>142</v>
      </c>
      <c r="D41" t="s">
        <v>141</v>
      </c>
      <c r="E41" t="s">
        <v>684</v>
      </c>
      <c r="F41" t="s">
        <v>796</v>
      </c>
      <c r="G41" t="s">
        <v>47</v>
      </c>
      <c r="H41">
        <v>241.79</v>
      </c>
      <c r="J41">
        <v>88253.349999999991</v>
      </c>
    </row>
    <row r="42" spans="1:10" x14ac:dyDescent="0.3">
      <c r="A42">
        <v>2015</v>
      </c>
      <c r="B42" t="s">
        <v>47</v>
      </c>
      <c r="C42" t="s">
        <v>329</v>
      </c>
      <c r="D42" t="s">
        <v>328</v>
      </c>
      <c r="E42" t="s">
        <v>685</v>
      </c>
      <c r="F42" t="s">
        <v>797</v>
      </c>
      <c r="G42" t="s">
        <v>47</v>
      </c>
      <c r="H42">
        <v>179.58</v>
      </c>
      <c r="J42">
        <v>65546.700000000012</v>
      </c>
    </row>
    <row r="43" spans="1:10" x14ac:dyDescent="0.3">
      <c r="A43">
        <v>2015</v>
      </c>
      <c r="B43" t="s">
        <v>47</v>
      </c>
      <c r="C43" t="s">
        <v>183</v>
      </c>
      <c r="D43" t="s">
        <v>182</v>
      </c>
      <c r="E43" t="s">
        <v>686</v>
      </c>
      <c r="F43" t="s">
        <v>798</v>
      </c>
      <c r="G43" t="s">
        <v>47</v>
      </c>
      <c r="H43">
        <v>262.73</v>
      </c>
      <c r="J43">
        <v>95896.450000000012</v>
      </c>
    </row>
    <row r="44" spans="1:10" x14ac:dyDescent="0.3">
      <c r="A44">
        <v>2015</v>
      </c>
      <c r="B44" t="s">
        <v>47</v>
      </c>
      <c r="C44" t="s">
        <v>373</v>
      </c>
      <c r="D44" t="s">
        <v>372</v>
      </c>
      <c r="E44" t="s">
        <v>687</v>
      </c>
      <c r="F44" t="s">
        <v>804</v>
      </c>
      <c r="G44" t="s">
        <v>47</v>
      </c>
      <c r="H44">
        <v>154.12</v>
      </c>
      <c r="J44">
        <v>56253.8</v>
      </c>
    </row>
    <row r="45" spans="1:10" x14ac:dyDescent="0.3">
      <c r="A45">
        <v>2015</v>
      </c>
      <c r="B45" t="s">
        <v>47</v>
      </c>
      <c r="C45" t="s">
        <v>250</v>
      </c>
      <c r="D45" t="s">
        <v>249</v>
      </c>
      <c r="E45" t="s">
        <v>688</v>
      </c>
      <c r="F45" t="s">
        <v>805</v>
      </c>
      <c r="G45" t="s">
        <v>47</v>
      </c>
      <c r="H45">
        <v>203.3</v>
      </c>
      <c r="J45">
        <v>74204.5</v>
      </c>
    </row>
    <row r="46" spans="1:10" x14ac:dyDescent="0.3">
      <c r="A46">
        <v>2015</v>
      </c>
      <c r="B46" t="s">
        <v>47</v>
      </c>
      <c r="C46" t="s">
        <v>282</v>
      </c>
      <c r="D46" t="s">
        <v>281</v>
      </c>
      <c r="E46" t="s">
        <v>689</v>
      </c>
      <c r="F46" t="s">
        <v>806</v>
      </c>
      <c r="G46" t="s">
        <v>47</v>
      </c>
      <c r="H46">
        <v>169.36</v>
      </c>
      <c r="J46">
        <v>61816.4</v>
      </c>
    </row>
    <row r="47" spans="1:10" x14ac:dyDescent="0.3">
      <c r="A47">
        <v>2015</v>
      </c>
      <c r="B47" t="s">
        <v>47</v>
      </c>
      <c r="C47" t="s">
        <v>352</v>
      </c>
      <c r="D47" t="s">
        <v>351</v>
      </c>
      <c r="E47" t="s">
        <v>690</v>
      </c>
      <c r="F47" t="s">
        <v>807</v>
      </c>
      <c r="G47" t="s">
        <v>47</v>
      </c>
      <c r="H47">
        <v>218.54</v>
      </c>
      <c r="J47">
        <v>79767.099999999991</v>
      </c>
    </row>
    <row r="48" spans="1:10" x14ac:dyDescent="0.3">
      <c r="A48">
        <v>2015</v>
      </c>
      <c r="B48" t="s">
        <v>47</v>
      </c>
      <c r="C48" t="s">
        <v>126</v>
      </c>
      <c r="D48" t="s">
        <v>125</v>
      </c>
      <c r="E48" t="s">
        <v>691</v>
      </c>
      <c r="F48" t="s">
        <v>745</v>
      </c>
      <c r="G48" t="s">
        <v>47</v>
      </c>
      <c r="H48">
        <v>129.03</v>
      </c>
      <c r="J48">
        <v>47095.95</v>
      </c>
    </row>
    <row r="49" spans="1:10" x14ac:dyDescent="0.3">
      <c r="A49">
        <v>2015</v>
      </c>
      <c r="B49" t="s">
        <v>47</v>
      </c>
      <c r="C49" t="s">
        <v>257</v>
      </c>
      <c r="D49" t="s">
        <v>256</v>
      </c>
      <c r="E49" t="s">
        <v>692</v>
      </c>
      <c r="F49" t="s">
        <v>748</v>
      </c>
      <c r="G49" t="s">
        <v>47</v>
      </c>
      <c r="H49">
        <v>167.75</v>
      </c>
      <c r="J49">
        <v>61228.75</v>
      </c>
    </row>
    <row r="50" spans="1:10" x14ac:dyDescent="0.3">
      <c r="A50">
        <v>2015</v>
      </c>
      <c r="B50" t="s">
        <v>47</v>
      </c>
      <c r="C50" t="s">
        <v>272</v>
      </c>
      <c r="D50" t="s">
        <v>271</v>
      </c>
      <c r="E50" t="s">
        <v>693</v>
      </c>
      <c r="F50" t="s">
        <v>750</v>
      </c>
      <c r="G50" t="s">
        <v>47</v>
      </c>
      <c r="H50">
        <v>208.01</v>
      </c>
      <c r="J50">
        <v>75923.649999999994</v>
      </c>
    </row>
    <row r="51" spans="1:10" x14ac:dyDescent="0.3">
      <c r="A51">
        <v>2015</v>
      </c>
      <c r="B51" t="s">
        <v>47</v>
      </c>
      <c r="C51" t="s">
        <v>241</v>
      </c>
      <c r="D51" t="s">
        <v>240</v>
      </c>
      <c r="E51" t="s">
        <v>694</v>
      </c>
      <c r="F51" t="s">
        <v>752</v>
      </c>
      <c r="G51" t="s">
        <v>47</v>
      </c>
      <c r="H51">
        <v>246.46</v>
      </c>
      <c r="J51">
        <v>89957.900000000009</v>
      </c>
    </row>
    <row r="52" spans="1:10" x14ac:dyDescent="0.3">
      <c r="A52">
        <v>2015</v>
      </c>
      <c r="B52" t="s">
        <v>47</v>
      </c>
      <c r="C52" t="s">
        <v>206</v>
      </c>
      <c r="D52" t="s">
        <v>205</v>
      </c>
      <c r="E52" t="s">
        <v>695</v>
      </c>
      <c r="F52" t="s">
        <v>754</v>
      </c>
      <c r="G52" t="s">
        <v>47</v>
      </c>
      <c r="H52">
        <v>245.29</v>
      </c>
      <c r="J52">
        <v>89530.849999999991</v>
      </c>
    </row>
    <row r="53" spans="1:10" x14ac:dyDescent="0.3">
      <c r="A53">
        <v>2015</v>
      </c>
      <c r="B53" t="s">
        <v>47</v>
      </c>
      <c r="C53" t="s">
        <v>566</v>
      </c>
      <c r="D53" t="s">
        <v>565</v>
      </c>
      <c r="E53" t="s">
        <v>696</v>
      </c>
      <c r="F53" t="s">
        <v>746</v>
      </c>
      <c r="G53" t="s">
        <v>47</v>
      </c>
      <c r="H53">
        <v>320.95999999999998</v>
      </c>
      <c r="J53">
        <v>117150.39999999999</v>
      </c>
    </row>
    <row r="54" spans="1:10" x14ac:dyDescent="0.3">
      <c r="A54">
        <v>2015</v>
      </c>
      <c r="B54" t="s">
        <v>47</v>
      </c>
      <c r="C54" t="s">
        <v>217</v>
      </c>
      <c r="D54" t="s">
        <v>814</v>
      </c>
      <c r="E54" t="s">
        <v>815</v>
      </c>
      <c r="F54" t="s">
        <v>816</v>
      </c>
      <c r="G54" t="s">
        <v>47</v>
      </c>
      <c r="H54">
        <v>86.31</v>
      </c>
      <c r="J54">
        <v>31503.15</v>
      </c>
    </row>
    <row r="55" spans="1:10" x14ac:dyDescent="0.3">
      <c r="A55">
        <v>2015</v>
      </c>
      <c r="B55" t="s">
        <v>47</v>
      </c>
      <c r="C55" t="s">
        <v>112</v>
      </c>
      <c r="D55" t="s">
        <v>817</v>
      </c>
      <c r="E55" t="s">
        <v>818</v>
      </c>
      <c r="F55" t="s">
        <v>819</v>
      </c>
      <c r="G55" t="s">
        <v>47</v>
      </c>
      <c r="H55">
        <v>130.66</v>
      </c>
      <c r="J55">
        <v>47690.9</v>
      </c>
    </row>
    <row r="56" spans="1:10" x14ac:dyDescent="0.3">
      <c r="A56">
        <v>2015</v>
      </c>
      <c r="B56" t="s">
        <v>47</v>
      </c>
      <c r="C56" t="s">
        <v>123</v>
      </c>
      <c r="D56" t="s">
        <v>826</v>
      </c>
      <c r="E56" t="s">
        <v>827</v>
      </c>
      <c r="F56" t="s">
        <v>828</v>
      </c>
      <c r="G56" t="s">
        <v>47</v>
      </c>
      <c r="H56">
        <v>114.28</v>
      </c>
      <c r="J56">
        <v>41712.199999999997</v>
      </c>
    </row>
    <row r="57" spans="1:10" x14ac:dyDescent="0.3">
      <c r="A57">
        <v>2015</v>
      </c>
      <c r="B57" t="s">
        <v>47</v>
      </c>
      <c r="C57" t="s">
        <v>278</v>
      </c>
      <c r="D57" t="s">
        <v>829</v>
      </c>
      <c r="E57" t="s">
        <v>830</v>
      </c>
      <c r="F57" t="s">
        <v>831</v>
      </c>
      <c r="G57" t="s">
        <v>47</v>
      </c>
      <c r="H57">
        <v>154.66</v>
      </c>
      <c r="J57">
        <v>56450.9</v>
      </c>
    </row>
    <row r="58" spans="1:10" x14ac:dyDescent="0.3">
      <c r="A58">
        <v>2015</v>
      </c>
      <c r="B58" t="s">
        <v>47</v>
      </c>
      <c r="C58" t="s">
        <v>255</v>
      </c>
      <c r="D58" t="s">
        <v>844</v>
      </c>
      <c r="E58" t="s">
        <v>845</v>
      </c>
      <c r="F58" t="s">
        <v>846</v>
      </c>
      <c r="G58" t="s">
        <v>47</v>
      </c>
      <c r="H58">
        <v>100.3</v>
      </c>
      <c r="J58">
        <v>36609.5</v>
      </c>
    </row>
    <row r="59" spans="1:10" x14ac:dyDescent="0.3">
      <c r="A59">
        <v>2015</v>
      </c>
      <c r="B59" t="s">
        <v>47</v>
      </c>
      <c r="C59" t="s">
        <v>137</v>
      </c>
      <c r="D59" t="s">
        <v>847</v>
      </c>
      <c r="E59" t="s">
        <v>848</v>
      </c>
      <c r="F59" t="s">
        <v>849</v>
      </c>
      <c r="G59" t="s">
        <v>47</v>
      </c>
      <c r="H59">
        <v>144.66</v>
      </c>
      <c r="J59">
        <v>52800.9</v>
      </c>
    </row>
    <row r="60" spans="1:10" x14ac:dyDescent="0.3">
      <c r="A60">
        <v>2015</v>
      </c>
      <c r="B60" t="s">
        <v>47</v>
      </c>
      <c r="C60" t="s">
        <v>181</v>
      </c>
      <c r="D60" t="s">
        <v>850</v>
      </c>
      <c r="E60" t="s">
        <v>851</v>
      </c>
      <c r="F60" t="s">
        <v>852</v>
      </c>
      <c r="G60" t="s">
        <v>47</v>
      </c>
      <c r="H60">
        <v>123.62</v>
      </c>
      <c r="J60">
        <v>45121.3</v>
      </c>
    </row>
    <row r="61" spans="1:10" x14ac:dyDescent="0.3">
      <c r="A61">
        <v>2015</v>
      </c>
      <c r="B61" t="s">
        <v>47</v>
      </c>
      <c r="C61" t="s">
        <v>301</v>
      </c>
      <c r="D61" t="s">
        <v>853</v>
      </c>
      <c r="E61" t="s">
        <v>854</v>
      </c>
      <c r="F61" t="s">
        <v>855</v>
      </c>
      <c r="G61" t="s">
        <v>47</v>
      </c>
      <c r="H61">
        <v>167.97</v>
      </c>
      <c r="J61">
        <v>61309.05</v>
      </c>
    </row>
    <row r="62" spans="1:10" x14ac:dyDescent="0.3">
      <c r="A62">
        <v>2015</v>
      </c>
      <c r="B62" t="s">
        <v>47</v>
      </c>
      <c r="C62" t="s">
        <v>343</v>
      </c>
      <c r="D62" t="s">
        <v>868</v>
      </c>
      <c r="E62" t="s">
        <v>869</v>
      </c>
      <c r="F62" t="s">
        <v>870</v>
      </c>
      <c r="G62" t="s">
        <v>47</v>
      </c>
      <c r="H62">
        <v>116.06</v>
      </c>
      <c r="J62">
        <v>42361.9</v>
      </c>
    </row>
    <row r="63" spans="1:10" x14ac:dyDescent="0.3">
      <c r="A63">
        <v>2015</v>
      </c>
      <c r="B63" t="s">
        <v>47</v>
      </c>
      <c r="C63" t="s">
        <v>337</v>
      </c>
      <c r="D63" t="s">
        <v>871</v>
      </c>
      <c r="E63" t="s">
        <v>872</v>
      </c>
      <c r="F63" t="s">
        <v>873</v>
      </c>
      <c r="G63" t="s">
        <v>47</v>
      </c>
      <c r="H63">
        <v>156.43</v>
      </c>
      <c r="J63">
        <v>57096.950000000004</v>
      </c>
    </row>
    <row r="64" spans="1:10" x14ac:dyDescent="0.3">
      <c r="A64">
        <v>2015</v>
      </c>
      <c r="B64" t="s">
        <v>47</v>
      </c>
      <c r="C64" t="s">
        <v>233</v>
      </c>
      <c r="D64" t="s">
        <v>874</v>
      </c>
      <c r="E64" t="s">
        <v>875</v>
      </c>
      <c r="F64" t="s">
        <v>876</v>
      </c>
      <c r="G64" t="s">
        <v>47</v>
      </c>
      <c r="H64">
        <v>139.88999999999999</v>
      </c>
      <c r="J64">
        <v>51059.85</v>
      </c>
    </row>
    <row r="65" spans="1:10" x14ac:dyDescent="0.3">
      <c r="A65">
        <v>2015</v>
      </c>
      <c r="B65" t="s">
        <v>47</v>
      </c>
      <c r="C65" t="s">
        <v>273</v>
      </c>
      <c r="D65" t="s">
        <v>877</v>
      </c>
      <c r="E65" t="s">
        <v>878</v>
      </c>
      <c r="F65" t="s">
        <v>879</v>
      </c>
      <c r="G65" t="s">
        <v>47</v>
      </c>
      <c r="H65">
        <v>180.27</v>
      </c>
      <c r="J65">
        <v>65798.55</v>
      </c>
    </row>
    <row r="66" spans="1:10" x14ac:dyDescent="0.3">
      <c r="A66">
        <v>2015</v>
      </c>
      <c r="B66" t="s">
        <v>47</v>
      </c>
      <c r="C66" t="s">
        <v>143</v>
      </c>
      <c r="D66" t="s">
        <v>893</v>
      </c>
      <c r="E66" t="s">
        <v>894</v>
      </c>
      <c r="F66" t="s">
        <v>895</v>
      </c>
      <c r="G66" t="s">
        <v>47</v>
      </c>
      <c r="H66">
        <v>137.32</v>
      </c>
      <c r="J66">
        <v>50121.799999999996</v>
      </c>
    </row>
    <row r="67" spans="1:10" x14ac:dyDescent="0.3">
      <c r="A67">
        <v>2015</v>
      </c>
      <c r="B67" t="s">
        <v>47</v>
      </c>
      <c r="C67" t="s">
        <v>156</v>
      </c>
      <c r="D67" t="s">
        <v>896</v>
      </c>
      <c r="E67" t="s">
        <v>897</v>
      </c>
      <c r="F67" t="s">
        <v>898</v>
      </c>
      <c r="G67" t="s">
        <v>47</v>
      </c>
      <c r="H67">
        <v>181.68</v>
      </c>
      <c r="J67">
        <v>66313.2</v>
      </c>
    </row>
    <row r="68" spans="1:10" x14ac:dyDescent="0.3">
      <c r="A68">
        <v>2015</v>
      </c>
      <c r="B68" t="s">
        <v>47</v>
      </c>
      <c r="C68" t="s">
        <v>155</v>
      </c>
      <c r="D68" t="s">
        <v>899</v>
      </c>
      <c r="E68" t="s">
        <v>900</v>
      </c>
      <c r="F68" t="s">
        <v>901</v>
      </c>
      <c r="G68" t="s">
        <v>47</v>
      </c>
      <c r="H68">
        <v>165.77</v>
      </c>
      <c r="J68">
        <v>60506.05</v>
      </c>
    </row>
    <row r="69" spans="1:10" x14ac:dyDescent="0.3">
      <c r="A69">
        <v>2015</v>
      </c>
      <c r="B69" t="s">
        <v>47</v>
      </c>
      <c r="C69" t="s">
        <v>165</v>
      </c>
      <c r="D69" t="s">
        <v>902</v>
      </c>
      <c r="E69" t="s">
        <v>903</v>
      </c>
      <c r="F69" t="s">
        <v>904</v>
      </c>
      <c r="G69" t="s">
        <v>47</v>
      </c>
      <c r="H69">
        <v>210.12</v>
      </c>
      <c r="J69">
        <v>76693.8</v>
      </c>
    </row>
    <row r="70" spans="1:10" x14ac:dyDescent="0.3">
      <c r="A70">
        <v>2015</v>
      </c>
      <c r="B70" t="s">
        <v>47</v>
      </c>
      <c r="C70" t="s">
        <v>228</v>
      </c>
      <c r="D70" t="s">
        <v>918</v>
      </c>
      <c r="E70" t="s">
        <v>919</v>
      </c>
      <c r="F70" t="s">
        <v>920</v>
      </c>
      <c r="G70" t="s">
        <v>47</v>
      </c>
      <c r="H70">
        <v>150.75</v>
      </c>
      <c r="J70">
        <v>55023.75</v>
      </c>
    </row>
    <row r="71" spans="1:10" x14ac:dyDescent="0.3">
      <c r="A71">
        <v>2015</v>
      </c>
      <c r="B71" t="s">
        <v>47</v>
      </c>
      <c r="C71" t="s">
        <v>364</v>
      </c>
      <c r="D71" t="s">
        <v>921</v>
      </c>
      <c r="E71" t="s">
        <v>922</v>
      </c>
      <c r="F71" t="s">
        <v>923</v>
      </c>
      <c r="G71" t="s">
        <v>47</v>
      </c>
      <c r="H71">
        <v>191.13</v>
      </c>
      <c r="J71">
        <v>69762.45</v>
      </c>
    </row>
    <row r="72" spans="1:10" x14ac:dyDescent="0.3">
      <c r="A72">
        <v>2015</v>
      </c>
      <c r="B72" t="s">
        <v>47</v>
      </c>
      <c r="C72" t="s">
        <v>380</v>
      </c>
      <c r="D72" t="s">
        <v>924</v>
      </c>
      <c r="E72" t="s">
        <v>925</v>
      </c>
      <c r="F72" t="s">
        <v>926</v>
      </c>
      <c r="G72" t="s">
        <v>47</v>
      </c>
      <c r="H72">
        <v>184.16</v>
      </c>
      <c r="J72">
        <v>67218.399999999994</v>
      </c>
    </row>
    <row r="73" spans="1:10" x14ac:dyDescent="0.3">
      <c r="A73">
        <v>2015</v>
      </c>
      <c r="B73" t="s">
        <v>47</v>
      </c>
      <c r="C73" t="s">
        <v>289</v>
      </c>
      <c r="D73" t="s">
        <v>927</v>
      </c>
      <c r="E73" t="s">
        <v>928</v>
      </c>
      <c r="F73" t="s">
        <v>929</v>
      </c>
      <c r="G73" t="s">
        <v>47</v>
      </c>
      <c r="H73">
        <v>224.55</v>
      </c>
      <c r="J73">
        <v>81960.75</v>
      </c>
    </row>
    <row r="74" spans="1:10" x14ac:dyDescent="0.3">
      <c r="A74">
        <v>2015</v>
      </c>
      <c r="B74" t="s">
        <v>47</v>
      </c>
      <c r="C74" t="s">
        <v>162</v>
      </c>
      <c r="D74" t="s">
        <v>943</v>
      </c>
      <c r="E74" t="s">
        <v>944</v>
      </c>
      <c r="F74" t="s">
        <v>945</v>
      </c>
      <c r="G74" t="s">
        <v>47</v>
      </c>
      <c r="H74">
        <v>168.35</v>
      </c>
      <c r="J74">
        <v>61447.75</v>
      </c>
    </row>
    <row r="75" spans="1:10" x14ac:dyDescent="0.3">
      <c r="A75">
        <v>2015</v>
      </c>
      <c r="B75" t="s">
        <v>47</v>
      </c>
      <c r="C75" t="s">
        <v>68</v>
      </c>
      <c r="D75" t="s">
        <v>946</v>
      </c>
      <c r="E75" t="s">
        <v>947</v>
      </c>
      <c r="F75" t="s">
        <v>948</v>
      </c>
      <c r="G75" t="s">
        <v>47</v>
      </c>
      <c r="H75">
        <v>202.23</v>
      </c>
      <c r="J75">
        <v>73813.95</v>
      </c>
    </row>
    <row r="76" spans="1:10" x14ac:dyDescent="0.3">
      <c r="A76">
        <v>2015</v>
      </c>
      <c r="B76" t="s">
        <v>47</v>
      </c>
      <c r="C76" t="s">
        <v>178</v>
      </c>
      <c r="D76" t="s">
        <v>949</v>
      </c>
      <c r="E76" t="s">
        <v>950</v>
      </c>
      <c r="F76" t="s">
        <v>951</v>
      </c>
      <c r="G76" t="s">
        <v>47</v>
      </c>
      <c r="H76">
        <v>198.47</v>
      </c>
      <c r="J76">
        <v>72441.55</v>
      </c>
    </row>
    <row r="77" spans="1:10" x14ac:dyDescent="0.3">
      <c r="A77">
        <v>2015</v>
      </c>
      <c r="B77" t="s">
        <v>47</v>
      </c>
      <c r="C77" t="s">
        <v>134</v>
      </c>
      <c r="D77" t="s">
        <v>952</v>
      </c>
      <c r="E77" t="s">
        <v>953</v>
      </c>
      <c r="F77" t="s">
        <v>954</v>
      </c>
      <c r="G77" t="s">
        <v>47</v>
      </c>
      <c r="H77">
        <v>232.35</v>
      </c>
      <c r="J77">
        <v>84807.75</v>
      </c>
    </row>
    <row r="78" spans="1:10" x14ac:dyDescent="0.3">
      <c r="A78">
        <v>2015</v>
      </c>
      <c r="B78" t="s">
        <v>47</v>
      </c>
      <c r="C78" t="s">
        <v>360</v>
      </c>
      <c r="D78" t="s">
        <v>967</v>
      </c>
      <c r="E78" t="s">
        <v>968</v>
      </c>
      <c r="F78" t="s">
        <v>969</v>
      </c>
      <c r="G78" t="s">
        <v>47</v>
      </c>
      <c r="H78">
        <v>102.22</v>
      </c>
      <c r="J78">
        <v>37310.300000000003</v>
      </c>
    </row>
    <row r="79" spans="1:10" x14ac:dyDescent="0.3">
      <c r="A79">
        <v>2015</v>
      </c>
      <c r="B79" t="s">
        <v>47</v>
      </c>
      <c r="C79" t="s">
        <v>65</v>
      </c>
      <c r="D79" t="s">
        <v>970</v>
      </c>
      <c r="E79" t="s">
        <v>971</v>
      </c>
      <c r="F79" t="s">
        <v>972</v>
      </c>
      <c r="G79" t="s">
        <v>47</v>
      </c>
      <c r="H79">
        <v>152.26</v>
      </c>
      <c r="J79">
        <v>55574.899999999994</v>
      </c>
    </row>
    <row r="80" spans="1:10" x14ac:dyDescent="0.3">
      <c r="A80">
        <v>2015</v>
      </c>
      <c r="B80" t="s">
        <v>47</v>
      </c>
      <c r="C80" t="s">
        <v>307</v>
      </c>
      <c r="D80" t="s">
        <v>973</v>
      </c>
      <c r="E80" t="s">
        <v>974</v>
      </c>
      <c r="F80" t="s">
        <v>975</v>
      </c>
      <c r="G80" t="s">
        <v>47</v>
      </c>
      <c r="H80">
        <v>112.95</v>
      </c>
      <c r="J80">
        <v>41226.75</v>
      </c>
    </row>
    <row r="81" spans="1:10" x14ac:dyDescent="0.3">
      <c r="A81">
        <v>2015</v>
      </c>
      <c r="B81" t="s">
        <v>47</v>
      </c>
      <c r="C81" t="s">
        <v>57</v>
      </c>
      <c r="D81" t="s">
        <v>976</v>
      </c>
      <c r="E81" t="s">
        <v>977</v>
      </c>
      <c r="F81" t="s">
        <v>978</v>
      </c>
      <c r="G81" t="s">
        <v>47</v>
      </c>
      <c r="H81">
        <v>162.99</v>
      </c>
      <c r="J81">
        <v>59491.350000000006</v>
      </c>
    </row>
    <row r="82" spans="1:10" x14ac:dyDescent="0.3">
      <c r="A82">
        <v>2015</v>
      </c>
      <c r="B82" t="s">
        <v>47</v>
      </c>
      <c r="C82" t="s">
        <v>173</v>
      </c>
      <c r="D82" t="s">
        <v>991</v>
      </c>
      <c r="E82" t="s">
        <v>992</v>
      </c>
      <c r="F82" t="s">
        <v>993</v>
      </c>
      <c r="G82" t="s">
        <v>47</v>
      </c>
      <c r="H82">
        <v>199.88</v>
      </c>
      <c r="J82">
        <v>72956.2</v>
      </c>
    </row>
    <row r="83" spans="1:10" x14ac:dyDescent="0.3">
      <c r="A83">
        <v>2015</v>
      </c>
      <c r="B83" t="s">
        <v>47</v>
      </c>
      <c r="C83" t="s">
        <v>88</v>
      </c>
      <c r="D83" t="s">
        <v>994</v>
      </c>
      <c r="E83" t="s">
        <v>995</v>
      </c>
      <c r="F83" t="s">
        <v>996</v>
      </c>
      <c r="G83" t="s">
        <v>47</v>
      </c>
      <c r="H83">
        <v>264.02</v>
      </c>
      <c r="J83">
        <v>96367.299999999988</v>
      </c>
    </row>
    <row r="84" spans="1:10" x14ac:dyDescent="0.3">
      <c r="A84">
        <v>2015</v>
      </c>
      <c r="B84" t="s">
        <v>47</v>
      </c>
      <c r="C84" t="s">
        <v>227</v>
      </c>
      <c r="D84" t="s">
        <v>997</v>
      </c>
      <c r="E84" t="s">
        <v>998</v>
      </c>
      <c r="F84" t="s">
        <v>999</v>
      </c>
      <c r="G84" t="s">
        <v>47</v>
      </c>
      <c r="H84">
        <v>221.34</v>
      </c>
      <c r="J84">
        <v>80789.100000000006</v>
      </c>
    </row>
    <row r="85" spans="1:10" x14ac:dyDescent="0.3">
      <c r="A85">
        <v>2015</v>
      </c>
      <c r="B85" t="s">
        <v>47</v>
      </c>
      <c r="C85" t="s">
        <v>186</v>
      </c>
      <c r="D85" t="s">
        <v>1000</v>
      </c>
      <c r="E85" t="s">
        <v>1001</v>
      </c>
      <c r="F85" t="s">
        <v>1002</v>
      </c>
      <c r="G85" t="s">
        <v>47</v>
      </c>
      <c r="H85">
        <v>285.47000000000003</v>
      </c>
      <c r="J85">
        <v>104196.55</v>
      </c>
    </row>
    <row r="86" spans="1:10" x14ac:dyDescent="0.3">
      <c r="A86">
        <v>2015</v>
      </c>
      <c r="B86" t="s">
        <v>47</v>
      </c>
      <c r="C86" t="s">
        <v>195</v>
      </c>
      <c r="D86" t="s">
        <v>1015</v>
      </c>
      <c r="E86" t="s">
        <v>1016</v>
      </c>
      <c r="F86" t="s">
        <v>1017</v>
      </c>
      <c r="G86" t="s">
        <v>47</v>
      </c>
      <c r="H86">
        <v>233.06</v>
      </c>
      <c r="J86">
        <v>85066.9</v>
      </c>
    </row>
    <row r="87" spans="1:10" x14ac:dyDescent="0.3">
      <c r="A87">
        <v>2015</v>
      </c>
      <c r="B87" t="s">
        <v>47</v>
      </c>
      <c r="C87" t="s">
        <v>325</v>
      </c>
      <c r="D87" t="s">
        <v>1018</v>
      </c>
      <c r="E87" t="s">
        <v>1019</v>
      </c>
      <c r="F87" t="s">
        <v>1020</v>
      </c>
      <c r="G87" t="s">
        <v>47</v>
      </c>
      <c r="H87">
        <v>306.61</v>
      </c>
      <c r="J87">
        <v>111912.65000000001</v>
      </c>
    </row>
    <row r="88" spans="1:10" x14ac:dyDescent="0.3">
      <c r="A88">
        <v>2015</v>
      </c>
      <c r="B88" t="s">
        <v>47</v>
      </c>
      <c r="C88" t="s">
        <v>103</v>
      </c>
      <c r="D88" t="s">
        <v>1021</v>
      </c>
      <c r="E88" t="s">
        <v>1022</v>
      </c>
      <c r="F88" t="s">
        <v>1023</v>
      </c>
      <c r="G88" t="s">
        <v>47</v>
      </c>
      <c r="H88">
        <v>254.51</v>
      </c>
      <c r="J88">
        <v>92896.15</v>
      </c>
    </row>
    <row r="89" spans="1:10" x14ac:dyDescent="0.3">
      <c r="A89">
        <v>2015</v>
      </c>
      <c r="B89" t="s">
        <v>47</v>
      </c>
      <c r="C89" t="s">
        <v>124</v>
      </c>
      <c r="D89" t="s">
        <v>1024</v>
      </c>
      <c r="E89" t="s">
        <v>1025</v>
      </c>
      <c r="F89" t="s">
        <v>1026</v>
      </c>
      <c r="G89" t="s">
        <v>47</v>
      </c>
      <c r="H89">
        <v>328.08</v>
      </c>
      <c r="J89">
        <v>119749.2</v>
      </c>
    </row>
    <row r="90" spans="1:10" x14ac:dyDescent="0.3">
      <c r="A90">
        <v>2015</v>
      </c>
      <c r="B90" t="s">
        <v>47</v>
      </c>
      <c r="C90" t="s">
        <v>190</v>
      </c>
      <c r="D90" t="s">
        <v>1039</v>
      </c>
      <c r="E90" t="s">
        <v>1040</v>
      </c>
      <c r="F90" t="s">
        <v>1041</v>
      </c>
      <c r="G90" t="s">
        <v>47</v>
      </c>
      <c r="H90">
        <v>149.63999999999999</v>
      </c>
      <c r="J90">
        <v>54618.6</v>
      </c>
    </row>
    <row r="91" spans="1:10" x14ac:dyDescent="0.3">
      <c r="A91">
        <v>2015</v>
      </c>
      <c r="B91" t="s">
        <v>47</v>
      </c>
      <c r="C91" t="s">
        <v>264</v>
      </c>
      <c r="D91" t="s">
        <v>1042</v>
      </c>
      <c r="E91" t="s">
        <v>1043</v>
      </c>
      <c r="F91" t="s">
        <v>1044</v>
      </c>
      <c r="G91" t="s">
        <v>47</v>
      </c>
      <c r="H91">
        <v>199.66</v>
      </c>
      <c r="J91">
        <v>72875.899999999994</v>
      </c>
    </row>
    <row r="92" spans="1:10" x14ac:dyDescent="0.3">
      <c r="A92">
        <v>2015</v>
      </c>
      <c r="B92" t="s">
        <v>47</v>
      </c>
      <c r="C92" t="s">
        <v>376</v>
      </c>
      <c r="D92" t="s">
        <v>1045</v>
      </c>
      <c r="E92" t="s">
        <v>1046</v>
      </c>
      <c r="F92" t="s">
        <v>1047</v>
      </c>
      <c r="G92" t="s">
        <v>47</v>
      </c>
      <c r="H92">
        <v>171.09</v>
      </c>
      <c r="J92">
        <v>62447.85</v>
      </c>
    </row>
    <row r="93" spans="1:10" x14ac:dyDescent="0.3">
      <c r="A93">
        <v>2015</v>
      </c>
      <c r="B93" t="s">
        <v>47</v>
      </c>
      <c r="C93" t="s">
        <v>336</v>
      </c>
      <c r="D93" t="s">
        <v>1048</v>
      </c>
      <c r="E93" t="s">
        <v>1049</v>
      </c>
      <c r="F93" t="s">
        <v>1050</v>
      </c>
      <c r="G93" t="s">
        <v>47</v>
      </c>
      <c r="H93">
        <v>221.12</v>
      </c>
      <c r="J93">
        <v>80708.800000000003</v>
      </c>
    </row>
    <row r="94" spans="1:10" x14ac:dyDescent="0.3">
      <c r="A94">
        <v>2015</v>
      </c>
      <c r="B94" t="s">
        <v>47</v>
      </c>
      <c r="C94" t="s">
        <v>113</v>
      </c>
      <c r="D94" t="s">
        <v>1057</v>
      </c>
      <c r="E94" t="s">
        <v>1058</v>
      </c>
      <c r="F94" t="s">
        <v>1059</v>
      </c>
      <c r="G94" t="s">
        <v>47</v>
      </c>
      <c r="H94">
        <v>68.62</v>
      </c>
      <c r="J94">
        <v>25046.300000000003</v>
      </c>
    </row>
    <row r="95" spans="1:10" x14ac:dyDescent="0.3">
      <c r="A95">
        <v>2015</v>
      </c>
      <c r="B95" t="s">
        <v>47</v>
      </c>
      <c r="C95" t="s">
        <v>344</v>
      </c>
      <c r="D95" t="s">
        <v>1060</v>
      </c>
      <c r="E95" t="s">
        <v>1061</v>
      </c>
      <c r="F95" t="s">
        <v>1062</v>
      </c>
      <c r="G95" t="s">
        <v>47</v>
      </c>
      <c r="H95">
        <v>110.31</v>
      </c>
      <c r="J95">
        <v>40263.15</v>
      </c>
    </row>
    <row r="96" spans="1:10" x14ac:dyDescent="0.3">
      <c r="A96">
        <v>2015</v>
      </c>
      <c r="B96" t="s">
        <v>47</v>
      </c>
      <c r="C96" t="s">
        <v>200</v>
      </c>
      <c r="D96" t="s">
        <v>1069</v>
      </c>
      <c r="E96" t="s">
        <v>1070</v>
      </c>
      <c r="F96" t="s">
        <v>1071</v>
      </c>
      <c r="G96" t="s">
        <v>47</v>
      </c>
      <c r="H96">
        <v>101.75</v>
      </c>
      <c r="J96">
        <v>37138.75</v>
      </c>
    </row>
    <row r="97" spans="1:10" x14ac:dyDescent="0.3">
      <c r="A97">
        <v>2015</v>
      </c>
      <c r="B97" t="s">
        <v>47</v>
      </c>
      <c r="C97" t="s">
        <v>248</v>
      </c>
      <c r="D97" t="s">
        <v>1072</v>
      </c>
      <c r="E97" t="s">
        <v>1073</v>
      </c>
      <c r="F97" t="s">
        <v>1074</v>
      </c>
      <c r="G97" t="s">
        <v>47</v>
      </c>
      <c r="H97">
        <v>136.49</v>
      </c>
      <c r="J97">
        <v>49818.850000000006</v>
      </c>
    </row>
    <row r="98" spans="1:10" x14ac:dyDescent="0.3">
      <c r="A98">
        <v>2015</v>
      </c>
      <c r="B98" t="s">
        <v>47</v>
      </c>
      <c r="C98" t="s">
        <v>224</v>
      </c>
      <c r="D98" t="s">
        <v>1087</v>
      </c>
      <c r="E98" t="s">
        <v>1088</v>
      </c>
      <c r="F98" t="s">
        <v>1089</v>
      </c>
      <c r="G98" t="s">
        <v>47</v>
      </c>
      <c r="H98">
        <v>124.46</v>
      </c>
      <c r="J98">
        <v>45427.899999999994</v>
      </c>
    </row>
    <row r="99" spans="1:10" x14ac:dyDescent="0.3">
      <c r="A99">
        <v>2015</v>
      </c>
      <c r="B99" t="s">
        <v>47</v>
      </c>
      <c r="C99" t="s">
        <v>99</v>
      </c>
      <c r="D99" t="s">
        <v>1090</v>
      </c>
      <c r="E99" t="s">
        <v>1091</v>
      </c>
      <c r="F99" t="s">
        <v>1092</v>
      </c>
      <c r="G99" t="s">
        <v>47</v>
      </c>
      <c r="H99">
        <v>159.19999999999999</v>
      </c>
      <c r="J99">
        <v>58107.999999999993</v>
      </c>
    </row>
    <row r="100" spans="1:10" x14ac:dyDescent="0.3">
      <c r="A100">
        <v>2015</v>
      </c>
      <c r="B100" t="s">
        <v>47</v>
      </c>
      <c r="C100" t="s">
        <v>286</v>
      </c>
      <c r="D100" t="s">
        <v>1093</v>
      </c>
      <c r="E100" t="s">
        <v>1094</v>
      </c>
      <c r="F100" t="s">
        <v>1095</v>
      </c>
      <c r="G100" t="s">
        <v>47</v>
      </c>
      <c r="H100">
        <v>137.33000000000001</v>
      </c>
      <c r="J100">
        <v>50125.450000000004</v>
      </c>
    </row>
    <row r="101" spans="1:10" x14ac:dyDescent="0.3">
      <c r="A101">
        <v>2015</v>
      </c>
      <c r="B101" t="s">
        <v>47</v>
      </c>
      <c r="C101" t="s">
        <v>292</v>
      </c>
      <c r="D101" t="s">
        <v>1096</v>
      </c>
      <c r="E101" t="s">
        <v>1097</v>
      </c>
      <c r="F101" t="s">
        <v>1098</v>
      </c>
      <c r="G101" t="s">
        <v>47</v>
      </c>
      <c r="H101">
        <v>172.08</v>
      </c>
      <c r="J101">
        <v>62809.200000000004</v>
      </c>
    </row>
    <row r="102" spans="1:10" x14ac:dyDescent="0.3">
      <c r="A102">
        <v>2015</v>
      </c>
      <c r="B102" t="s">
        <v>47</v>
      </c>
      <c r="C102" t="s">
        <v>304</v>
      </c>
      <c r="D102" t="s">
        <v>1111</v>
      </c>
      <c r="E102" t="s">
        <v>1112</v>
      </c>
      <c r="F102" t="s">
        <v>1113</v>
      </c>
      <c r="G102" t="s">
        <v>47</v>
      </c>
      <c r="H102">
        <v>157.88</v>
      </c>
      <c r="J102">
        <v>57626.2</v>
      </c>
    </row>
    <row r="103" spans="1:10" x14ac:dyDescent="0.3">
      <c r="A103">
        <v>2015</v>
      </c>
      <c r="B103" t="s">
        <v>47</v>
      </c>
      <c r="C103" t="s">
        <v>203</v>
      </c>
      <c r="D103" t="s">
        <v>1114</v>
      </c>
      <c r="E103" t="s">
        <v>1115</v>
      </c>
      <c r="F103" t="s">
        <v>1116</v>
      </c>
      <c r="G103" t="s">
        <v>47</v>
      </c>
      <c r="H103">
        <v>204.76</v>
      </c>
      <c r="J103">
        <v>74737.399999999994</v>
      </c>
    </row>
    <row r="104" spans="1:10" x14ac:dyDescent="0.3">
      <c r="A104">
        <v>2015</v>
      </c>
      <c r="B104" t="s">
        <v>47</v>
      </c>
      <c r="C104" t="s">
        <v>58</v>
      </c>
      <c r="D104" t="s">
        <v>1117</v>
      </c>
      <c r="E104" t="s">
        <v>1118</v>
      </c>
      <c r="F104" t="s">
        <v>1119</v>
      </c>
      <c r="G104" t="s">
        <v>47</v>
      </c>
      <c r="H104">
        <v>174.32</v>
      </c>
      <c r="J104">
        <v>63626.799999999996</v>
      </c>
    </row>
    <row r="105" spans="1:10" x14ac:dyDescent="0.3">
      <c r="A105">
        <v>2015</v>
      </c>
      <c r="B105" t="s">
        <v>47</v>
      </c>
      <c r="C105" t="s">
        <v>138</v>
      </c>
      <c r="D105" t="s">
        <v>1120</v>
      </c>
      <c r="E105" t="s">
        <v>1121</v>
      </c>
      <c r="F105" t="s">
        <v>1122</v>
      </c>
      <c r="G105" t="s">
        <v>47</v>
      </c>
      <c r="H105">
        <v>221.2</v>
      </c>
      <c r="J105">
        <v>80738</v>
      </c>
    </row>
    <row r="106" spans="1:10" x14ac:dyDescent="0.3">
      <c r="A106">
        <v>2015</v>
      </c>
      <c r="B106" t="s">
        <v>47</v>
      </c>
      <c r="C106" t="s">
        <v>285</v>
      </c>
      <c r="D106" t="s">
        <v>1135</v>
      </c>
      <c r="E106" t="s">
        <v>1136</v>
      </c>
      <c r="F106" t="s">
        <v>1137</v>
      </c>
      <c r="G106" t="s">
        <v>47</v>
      </c>
      <c r="H106">
        <v>173.58</v>
      </c>
      <c r="J106">
        <v>63356.700000000004</v>
      </c>
    </row>
    <row r="107" spans="1:10" x14ac:dyDescent="0.3">
      <c r="A107">
        <v>2015</v>
      </c>
      <c r="B107" t="s">
        <v>47</v>
      </c>
      <c r="C107" t="s">
        <v>356</v>
      </c>
      <c r="D107" t="s">
        <v>1138</v>
      </c>
      <c r="E107" t="s">
        <v>1139</v>
      </c>
      <c r="F107" t="s">
        <v>1140</v>
      </c>
      <c r="G107" t="s">
        <v>47</v>
      </c>
      <c r="H107">
        <v>220.46</v>
      </c>
      <c r="J107">
        <v>80467.900000000009</v>
      </c>
    </row>
    <row r="108" spans="1:10" x14ac:dyDescent="0.3">
      <c r="A108">
        <v>2015</v>
      </c>
      <c r="B108" t="s">
        <v>47</v>
      </c>
      <c r="C108" t="s">
        <v>258</v>
      </c>
      <c r="D108" t="s">
        <v>1141</v>
      </c>
      <c r="E108" t="s">
        <v>1142</v>
      </c>
      <c r="F108" t="s">
        <v>1143</v>
      </c>
      <c r="G108" t="s">
        <v>47</v>
      </c>
      <c r="H108">
        <v>193.99</v>
      </c>
      <c r="J108">
        <v>70806.350000000006</v>
      </c>
    </row>
    <row r="109" spans="1:10" x14ac:dyDescent="0.3">
      <c r="A109">
        <v>2015</v>
      </c>
      <c r="B109" t="s">
        <v>47</v>
      </c>
      <c r="C109" t="s">
        <v>179</v>
      </c>
      <c r="D109" t="s">
        <v>1144</v>
      </c>
      <c r="E109" t="s">
        <v>1145</v>
      </c>
      <c r="F109" t="s">
        <v>1146</v>
      </c>
      <c r="G109" t="s">
        <v>47</v>
      </c>
      <c r="H109">
        <v>240.87</v>
      </c>
      <c r="J109">
        <v>87917.55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M123"/>
  <sheetViews>
    <sheetView topLeftCell="D43" workbookViewId="0">
      <selection activeCell="D62" sqref="D62:J67"/>
    </sheetView>
  </sheetViews>
  <sheetFormatPr defaultRowHeight="14.4" x14ac:dyDescent="0.3"/>
  <cols>
    <col min="1" max="1" width="8.5546875" bestFit="1" customWidth="1"/>
    <col min="2" max="2" width="11.6640625" bestFit="1" customWidth="1"/>
    <col min="3" max="3" width="13.44140625" bestFit="1" customWidth="1"/>
    <col min="4" max="4" width="27.44140625" bestFit="1" customWidth="1"/>
    <col min="5" max="5" width="22.6640625" bestFit="1" customWidth="1"/>
    <col min="6" max="6" width="48.33203125" bestFit="1" customWidth="1"/>
    <col min="7" max="7" width="8.44140625" bestFit="1" customWidth="1"/>
    <col min="8" max="8" width="15.33203125" bestFit="1" customWidth="1"/>
    <col min="9" max="9" width="8.6640625" bestFit="1" customWidth="1"/>
    <col min="10" max="10" width="10" bestFit="1" customWidth="1"/>
  </cols>
  <sheetData>
    <row r="1" spans="1:13" ht="15" x14ac:dyDescent="0.25">
      <c r="A1" t="s">
        <v>2</v>
      </c>
      <c r="B1" t="s">
        <v>1</v>
      </c>
      <c r="C1" t="s">
        <v>4</v>
      </c>
      <c r="D1" t="s">
        <v>0</v>
      </c>
      <c r="E1" t="s">
        <v>0</v>
      </c>
      <c r="F1" t="s">
        <v>699</v>
      </c>
      <c r="G1" t="s">
        <v>1147</v>
      </c>
      <c r="H1" t="s">
        <v>3</v>
      </c>
      <c r="I1" t="s">
        <v>577</v>
      </c>
      <c r="J1" t="s">
        <v>578</v>
      </c>
      <c r="K1" t="s">
        <v>1165</v>
      </c>
      <c r="L1" t="s">
        <v>1166</v>
      </c>
      <c r="M1" t="s">
        <v>577</v>
      </c>
    </row>
    <row r="2" spans="1:13" ht="15" x14ac:dyDescent="0.25">
      <c r="A2">
        <v>2015</v>
      </c>
      <c r="B2" t="s">
        <v>48</v>
      </c>
      <c r="C2" t="s">
        <v>254</v>
      </c>
      <c r="D2" t="s">
        <v>253</v>
      </c>
      <c r="E2" t="s">
        <v>579</v>
      </c>
      <c r="F2" t="s">
        <v>1149</v>
      </c>
      <c r="G2" t="s">
        <v>1161</v>
      </c>
      <c r="H2">
        <v>66.75</v>
      </c>
      <c r="I2">
        <v>13.31</v>
      </c>
      <c r="J2">
        <v>29221.9</v>
      </c>
      <c r="K2" t="s">
        <v>1164</v>
      </c>
    </row>
    <row r="3" spans="1:13" ht="15" x14ac:dyDescent="0.25">
      <c r="A3">
        <v>2015</v>
      </c>
      <c r="B3" t="s">
        <v>48</v>
      </c>
      <c r="C3" t="s">
        <v>298</v>
      </c>
      <c r="D3" t="s">
        <v>297</v>
      </c>
      <c r="E3" t="s">
        <v>580</v>
      </c>
      <c r="F3" t="s">
        <v>1150</v>
      </c>
      <c r="G3" t="s">
        <v>1161</v>
      </c>
      <c r="H3">
        <v>85.09</v>
      </c>
      <c r="I3">
        <v>13.930000000000001</v>
      </c>
      <c r="J3">
        <v>36142.300000000003</v>
      </c>
    </row>
    <row r="4" spans="1:13" ht="15" x14ac:dyDescent="0.25">
      <c r="A4">
        <v>2015</v>
      </c>
      <c r="B4" t="s">
        <v>48</v>
      </c>
      <c r="C4" t="s">
        <v>324</v>
      </c>
      <c r="D4" t="s">
        <v>323</v>
      </c>
      <c r="E4" t="s">
        <v>581</v>
      </c>
      <c r="F4" t="s">
        <v>700</v>
      </c>
      <c r="G4" t="s">
        <v>1161</v>
      </c>
      <c r="H4">
        <v>103.14</v>
      </c>
      <c r="I4">
        <v>15.13</v>
      </c>
      <c r="J4">
        <v>43168.549999999996</v>
      </c>
      <c r="L4">
        <f>J5-J4</f>
        <v>9639.6500000000087</v>
      </c>
      <c r="M4">
        <f>I5-I4</f>
        <v>0.54000000000000092</v>
      </c>
    </row>
    <row r="5" spans="1:13" ht="15" x14ac:dyDescent="0.25">
      <c r="A5">
        <v>2015</v>
      </c>
      <c r="B5" t="s">
        <v>48</v>
      </c>
      <c r="C5" t="s">
        <v>62</v>
      </c>
      <c r="D5" t="s">
        <v>61</v>
      </c>
      <c r="E5" t="s">
        <v>582</v>
      </c>
      <c r="F5" t="s">
        <v>701</v>
      </c>
      <c r="G5" t="s">
        <v>1161</v>
      </c>
      <c r="H5">
        <v>129.01</v>
      </c>
      <c r="I5">
        <v>15.670000000000002</v>
      </c>
      <c r="J5">
        <v>52808.200000000004</v>
      </c>
    </row>
    <row r="6" spans="1:13" ht="15" x14ac:dyDescent="0.25">
      <c r="A6">
        <v>2015</v>
      </c>
      <c r="B6" t="s">
        <v>48</v>
      </c>
      <c r="C6" t="s">
        <v>128</v>
      </c>
      <c r="D6" t="s">
        <v>127</v>
      </c>
      <c r="E6" t="s">
        <v>583</v>
      </c>
      <c r="F6" t="s">
        <v>702</v>
      </c>
      <c r="G6" t="s">
        <v>1161</v>
      </c>
      <c r="H6">
        <v>117.33</v>
      </c>
      <c r="I6">
        <v>15.33</v>
      </c>
      <c r="J6">
        <v>48420.9</v>
      </c>
      <c r="L6">
        <f>J7-J6</f>
        <v>9650.5999999999985</v>
      </c>
      <c r="M6">
        <f>I7-I6</f>
        <v>0.54999999999999893</v>
      </c>
    </row>
    <row r="7" spans="1:13" ht="15" x14ac:dyDescent="0.25">
      <c r="A7">
        <v>2015</v>
      </c>
      <c r="B7" t="s">
        <v>48</v>
      </c>
      <c r="C7" t="s">
        <v>342</v>
      </c>
      <c r="D7" t="s">
        <v>341</v>
      </c>
      <c r="E7" t="s">
        <v>584</v>
      </c>
      <c r="F7" t="s">
        <v>703</v>
      </c>
      <c r="G7" t="s">
        <v>1161</v>
      </c>
      <c r="H7">
        <v>143.22</v>
      </c>
      <c r="I7">
        <v>15.879999999999999</v>
      </c>
      <c r="J7">
        <v>58071.5</v>
      </c>
    </row>
    <row r="8" spans="1:13" ht="15" x14ac:dyDescent="0.25">
      <c r="A8">
        <v>2015</v>
      </c>
      <c r="B8" t="s">
        <v>48</v>
      </c>
      <c r="C8" t="s">
        <v>95</v>
      </c>
      <c r="D8" t="s">
        <v>94</v>
      </c>
      <c r="E8" t="s">
        <v>585</v>
      </c>
      <c r="F8" t="s">
        <v>704</v>
      </c>
      <c r="G8" t="s">
        <v>1161</v>
      </c>
      <c r="H8">
        <v>161.03</v>
      </c>
      <c r="I8">
        <v>15.39</v>
      </c>
      <c r="J8">
        <v>64393.3</v>
      </c>
      <c r="L8">
        <f>J9-J8</f>
        <v>10340.449999999997</v>
      </c>
      <c r="M8">
        <f>I9-I8</f>
        <v>1.120000000000001</v>
      </c>
    </row>
    <row r="9" spans="1:13" ht="15" x14ac:dyDescent="0.25">
      <c r="A9">
        <v>2015</v>
      </c>
      <c r="B9" t="s">
        <v>48</v>
      </c>
      <c r="C9" t="s">
        <v>270</v>
      </c>
      <c r="D9" t="s">
        <v>269</v>
      </c>
      <c r="E9" t="s">
        <v>586</v>
      </c>
      <c r="F9" t="s">
        <v>705</v>
      </c>
      <c r="G9" t="s">
        <v>1161</v>
      </c>
      <c r="H9">
        <v>188.24</v>
      </c>
      <c r="I9">
        <v>16.510000000000002</v>
      </c>
      <c r="J9">
        <v>74733.75</v>
      </c>
    </row>
    <row r="10" spans="1:13" ht="15" x14ac:dyDescent="0.25">
      <c r="A10">
        <v>2015</v>
      </c>
      <c r="B10" t="s">
        <v>48</v>
      </c>
      <c r="C10" t="s">
        <v>327</v>
      </c>
      <c r="D10" t="s">
        <v>326</v>
      </c>
      <c r="E10" t="s">
        <v>587</v>
      </c>
      <c r="F10" t="s">
        <v>706</v>
      </c>
      <c r="G10" t="s">
        <v>1161</v>
      </c>
      <c r="H10">
        <v>161.33000000000001</v>
      </c>
      <c r="I10">
        <v>15.35</v>
      </c>
      <c r="J10">
        <v>64488.200000000004</v>
      </c>
      <c r="L10">
        <f>J11-J10</f>
        <v>10475.500000000007</v>
      </c>
      <c r="M10">
        <f>I11-I10</f>
        <v>1.4800000000000022</v>
      </c>
    </row>
    <row r="11" spans="1:13" ht="15" x14ac:dyDescent="0.25">
      <c r="A11">
        <v>2015</v>
      </c>
      <c r="B11" t="s">
        <v>48</v>
      </c>
      <c r="C11" t="s">
        <v>284</v>
      </c>
      <c r="D11" t="s">
        <v>283</v>
      </c>
      <c r="E11" t="s">
        <v>588</v>
      </c>
      <c r="F11" t="s">
        <v>707</v>
      </c>
      <c r="G11" t="s">
        <v>1161</v>
      </c>
      <c r="H11">
        <v>188.55</v>
      </c>
      <c r="I11">
        <v>16.830000000000002</v>
      </c>
      <c r="J11">
        <v>74963.700000000012</v>
      </c>
    </row>
    <row r="12" spans="1:13" ht="15" x14ac:dyDescent="0.25">
      <c r="A12">
        <v>2015</v>
      </c>
      <c r="B12" t="s">
        <v>48</v>
      </c>
      <c r="C12" t="s">
        <v>247</v>
      </c>
      <c r="D12" t="s">
        <v>246</v>
      </c>
      <c r="E12" t="s">
        <v>589</v>
      </c>
      <c r="F12" t="s">
        <v>708</v>
      </c>
      <c r="G12" t="s">
        <v>1161</v>
      </c>
      <c r="H12">
        <v>189.53</v>
      </c>
      <c r="I12">
        <v>15.82</v>
      </c>
      <c r="J12">
        <v>74952.75</v>
      </c>
      <c r="L12">
        <f>J13-J12</f>
        <v>13344.399999999994</v>
      </c>
      <c r="M12">
        <f>I13-I12</f>
        <v>1.4699999999999989</v>
      </c>
    </row>
    <row r="13" spans="1:13" ht="15" x14ac:dyDescent="0.25">
      <c r="A13">
        <v>2015</v>
      </c>
      <c r="B13" t="s">
        <v>48</v>
      </c>
      <c r="C13" t="s">
        <v>164</v>
      </c>
      <c r="D13" t="s">
        <v>163</v>
      </c>
      <c r="E13" t="s">
        <v>590</v>
      </c>
      <c r="F13" t="s">
        <v>709</v>
      </c>
      <c r="G13" t="s">
        <v>1161</v>
      </c>
      <c r="H13">
        <v>224.62</v>
      </c>
      <c r="I13">
        <v>17.29</v>
      </c>
      <c r="J13">
        <v>88297.15</v>
      </c>
    </row>
    <row r="14" spans="1:13" ht="15" x14ac:dyDescent="0.25">
      <c r="A14">
        <v>2015</v>
      </c>
      <c r="B14" t="s">
        <v>48</v>
      </c>
      <c r="C14" t="s">
        <v>98</v>
      </c>
      <c r="D14" t="s">
        <v>97</v>
      </c>
      <c r="E14" t="s">
        <v>591</v>
      </c>
      <c r="F14" t="s">
        <v>712</v>
      </c>
      <c r="G14" t="s">
        <v>1161</v>
      </c>
      <c r="H14">
        <v>221.17</v>
      </c>
      <c r="I14">
        <v>16.5</v>
      </c>
      <c r="J14">
        <v>86749.549999999988</v>
      </c>
      <c r="L14">
        <f>J15-J14</f>
        <v>13446.600000000006</v>
      </c>
      <c r="M14">
        <f>I15-I14</f>
        <v>1.7600000000000016</v>
      </c>
    </row>
    <row r="15" spans="1:13" ht="15" x14ac:dyDescent="0.25">
      <c r="A15">
        <v>2015</v>
      </c>
      <c r="B15" t="s">
        <v>48</v>
      </c>
      <c r="C15" t="s">
        <v>371</v>
      </c>
      <c r="D15" t="s">
        <v>370</v>
      </c>
      <c r="E15" t="s">
        <v>592</v>
      </c>
      <c r="F15" t="s">
        <v>713</v>
      </c>
      <c r="G15" t="s">
        <v>1161</v>
      </c>
      <c r="H15">
        <v>256.25</v>
      </c>
      <c r="I15">
        <v>18.260000000000002</v>
      </c>
      <c r="J15">
        <v>100196.15</v>
      </c>
    </row>
    <row r="16" spans="1:13" ht="15" x14ac:dyDescent="0.25">
      <c r="A16">
        <v>2015</v>
      </c>
      <c r="B16" t="s">
        <v>48</v>
      </c>
      <c r="C16" t="s">
        <v>572</v>
      </c>
      <c r="D16" t="s">
        <v>571</v>
      </c>
      <c r="E16" t="s">
        <v>593</v>
      </c>
      <c r="F16" t="s">
        <v>716</v>
      </c>
      <c r="G16" t="s">
        <v>1161</v>
      </c>
      <c r="H16">
        <v>156.97</v>
      </c>
      <c r="I16">
        <v>15.25</v>
      </c>
      <c r="J16">
        <v>62860.3</v>
      </c>
      <c r="L16">
        <f>J17-J16</f>
        <v>26513.599999999991</v>
      </c>
      <c r="M16">
        <f>I17-I16</f>
        <v>6.0399999999999991</v>
      </c>
    </row>
    <row r="17" spans="1:13" ht="15" x14ac:dyDescent="0.25">
      <c r="A17">
        <v>2015</v>
      </c>
      <c r="B17" t="s">
        <v>48</v>
      </c>
      <c r="C17" t="s">
        <v>570</v>
      </c>
      <c r="D17" t="s">
        <v>569</v>
      </c>
      <c r="E17" t="s">
        <v>594</v>
      </c>
      <c r="F17" t="s">
        <v>717</v>
      </c>
      <c r="G17" t="s">
        <v>1161</v>
      </c>
      <c r="H17">
        <v>223.57</v>
      </c>
      <c r="I17">
        <v>21.29</v>
      </c>
      <c r="J17">
        <v>89373.9</v>
      </c>
    </row>
    <row r="18" spans="1:13" ht="15" x14ac:dyDescent="0.25">
      <c r="A18">
        <v>2015</v>
      </c>
      <c r="B18" t="s">
        <v>48</v>
      </c>
      <c r="C18" t="s">
        <v>384</v>
      </c>
      <c r="D18" t="s">
        <v>383</v>
      </c>
      <c r="E18" t="s">
        <v>595</v>
      </c>
      <c r="F18" t="s">
        <v>720</v>
      </c>
      <c r="G18" t="s">
        <v>1161</v>
      </c>
      <c r="H18">
        <v>242</v>
      </c>
      <c r="I18">
        <v>16.259999999999998</v>
      </c>
      <c r="J18">
        <v>94264.9</v>
      </c>
      <c r="L18">
        <f>J19-J18</f>
        <v>13351.700000000012</v>
      </c>
      <c r="M18">
        <f>I19-I18</f>
        <v>1.4700000000000024</v>
      </c>
    </row>
    <row r="19" spans="1:13" ht="15" x14ac:dyDescent="0.25">
      <c r="A19">
        <v>2015</v>
      </c>
      <c r="B19" t="s">
        <v>48</v>
      </c>
      <c r="C19" t="s">
        <v>130</v>
      </c>
      <c r="D19" t="s">
        <v>129</v>
      </c>
      <c r="E19" t="s">
        <v>596</v>
      </c>
      <c r="F19" t="s">
        <v>721</v>
      </c>
      <c r="G19" t="s">
        <v>1161</v>
      </c>
      <c r="H19">
        <v>277.11</v>
      </c>
      <c r="I19">
        <v>17.73</v>
      </c>
      <c r="J19">
        <v>107616.6</v>
      </c>
    </row>
    <row r="20" spans="1:13" ht="15" x14ac:dyDescent="0.25">
      <c r="A20">
        <v>2015</v>
      </c>
      <c r="B20" t="s">
        <v>48</v>
      </c>
      <c r="C20" t="s">
        <v>375</v>
      </c>
      <c r="D20" t="s">
        <v>374</v>
      </c>
      <c r="E20" t="s">
        <v>597</v>
      </c>
      <c r="F20" t="s">
        <v>724</v>
      </c>
      <c r="G20" t="s">
        <v>1161</v>
      </c>
      <c r="H20">
        <v>80.16</v>
      </c>
      <c r="I20">
        <v>9.66</v>
      </c>
      <c r="J20">
        <v>32784.299999999996</v>
      </c>
    </row>
    <row r="21" spans="1:13" ht="15" x14ac:dyDescent="0.25">
      <c r="A21">
        <v>2015</v>
      </c>
      <c r="B21" t="s">
        <v>48</v>
      </c>
      <c r="C21" t="s">
        <v>295</v>
      </c>
      <c r="D21" t="s">
        <v>294</v>
      </c>
      <c r="E21" t="s">
        <v>598</v>
      </c>
      <c r="F21" t="s">
        <v>725</v>
      </c>
      <c r="G21" t="s">
        <v>1161</v>
      </c>
      <c r="H21">
        <v>104.78</v>
      </c>
      <c r="I21">
        <v>14.75</v>
      </c>
      <c r="J21">
        <v>43628.45</v>
      </c>
    </row>
    <row r="22" spans="1:13" ht="15" x14ac:dyDescent="0.25">
      <c r="A22">
        <v>2015</v>
      </c>
      <c r="B22" t="s">
        <v>48</v>
      </c>
      <c r="C22" t="s">
        <v>315</v>
      </c>
      <c r="D22" t="s">
        <v>314</v>
      </c>
      <c r="E22" t="s">
        <v>599</v>
      </c>
      <c r="F22" t="s">
        <v>726</v>
      </c>
      <c r="G22" t="s">
        <v>1161</v>
      </c>
      <c r="H22">
        <v>118.23</v>
      </c>
      <c r="I22">
        <v>9.66</v>
      </c>
      <c r="J22">
        <v>46679.85</v>
      </c>
    </row>
    <row r="23" spans="1:13" ht="15" x14ac:dyDescent="0.25">
      <c r="A23">
        <v>2015</v>
      </c>
      <c r="B23" t="s">
        <v>48</v>
      </c>
      <c r="C23" t="s">
        <v>70</v>
      </c>
      <c r="D23" t="s">
        <v>69</v>
      </c>
      <c r="E23" t="s">
        <v>600</v>
      </c>
      <c r="F23" t="s">
        <v>727</v>
      </c>
      <c r="G23" t="s">
        <v>1161</v>
      </c>
      <c r="H23">
        <v>140.66999999999999</v>
      </c>
      <c r="I23">
        <v>14.75</v>
      </c>
      <c r="J23">
        <v>56728.299999999996</v>
      </c>
    </row>
    <row r="24" spans="1:13" ht="15" x14ac:dyDescent="0.25">
      <c r="A24">
        <v>2015</v>
      </c>
      <c r="B24" t="s">
        <v>48</v>
      </c>
      <c r="C24" t="s">
        <v>213</v>
      </c>
      <c r="D24" t="s">
        <v>212</v>
      </c>
      <c r="E24" t="s">
        <v>601</v>
      </c>
      <c r="F24" t="s">
        <v>728</v>
      </c>
      <c r="G24" t="s">
        <v>1161</v>
      </c>
      <c r="H24">
        <v>128.72</v>
      </c>
      <c r="I24">
        <v>14.03</v>
      </c>
      <c r="J24">
        <v>52103.75</v>
      </c>
    </row>
    <row r="25" spans="1:13" ht="15" x14ac:dyDescent="0.25">
      <c r="A25">
        <v>2015</v>
      </c>
      <c r="B25" t="s">
        <v>48</v>
      </c>
      <c r="C25" t="s">
        <v>322</v>
      </c>
      <c r="D25" t="s">
        <v>321</v>
      </c>
      <c r="E25" t="s">
        <v>602</v>
      </c>
      <c r="F25" t="s">
        <v>729</v>
      </c>
      <c r="G25" t="s">
        <v>1161</v>
      </c>
      <c r="H25">
        <v>153.94999999999999</v>
      </c>
      <c r="I25">
        <v>19.049999999999997</v>
      </c>
      <c r="J25">
        <v>63145</v>
      </c>
    </row>
    <row r="26" spans="1:13" ht="15" x14ac:dyDescent="0.25">
      <c r="A26">
        <v>2015</v>
      </c>
      <c r="B26" t="s">
        <v>48</v>
      </c>
      <c r="C26" t="s">
        <v>335</v>
      </c>
      <c r="D26" t="s">
        <v>334</v>
      </c>
      <c r="E26" t="s">
        <v>603</v>
      </c>
      <c r="F26" t="s">
        <v>730</v>
      </c>
      <c r="G26" t="s">
        <v>1161</v>
      </c>
      <c r="H26">
        <v>148.41</v>
      </c>
      <c r="I26">
        <v>14.03</v>
      </c>
      <c r="J26">
        <v>59290.6</v>
      </c>
    </row>
    <row r="27" spans="1:13" ht="15" x14ac:dyDescent="0.25">
      <c r="A27">
        <v>2015</v>
      </c>
      <c r="B27" t="s">
        <v>48</v>
      </c>
      <c r="C27" t="s">
        <v>320</v>
      </c>
      <c r="D27" t="s">
        <v>319</v>
      </c>
      <c r="E27" t="s">
        <v>604</v>
      </c>
      <c r="F27" t="s">
        <v>731</v>
      </c>
      <c r="G27" t="s">
        <v>1161</v>
      </c>
      <c r="H27">
        <v>174.99</v>
      </c>
      <c r="I27">
        <v>19.049999999999997</v>
      </c>
      <c r="J27">
        <v>70824.600000000006</v>
      </c>
    </row>
    <row r="28" spans="1:13" ht="15" x14ac:dyDescent="0.25">
      <c r="A28">
        <v>2015</v>
      </c>
      <c r="B28" t="s">
        <v>48</v>
      </c>
      <c r="C28" t="s">
        <v>194</v>
      </c>
      <c r="D28" t="s">
        <v>193</v>
      </c>
      <c r="E28" t="s">
        <v>605</v>
      </c>
      <c r="F28" t="s">
        <v>732</v>
      </c>
      <c r="G28" t="s">
        <v>1161</v>
      </c>
      <c r="H28">
        <v>160.44</v>
      </c>
      <c r="I28">
        <v>18.149999999999999</v>
      </c>
      <c r="J28">
        <v>65185.35</v>
      </c>
    </row>
    <row r="29" spans="1:13" ht="15" x14ac:dyDescent="0.25">
      <c r="A29">
        <v>2015</v>
      </c>
      <c r="B29" t="s">
        <v>48</v>
      </c>
      <c r="C29" t="s">
        <v>346</v>
      </c>
      <c r="D29" t="s">
        <v>345</v>
      </c>
      <c r="E29" t="s">
        <v>606</v>
      </c>
      <c r="F29" t="s">
        <v>733</v>
      </c>
      <c r="G29" t="s">
        <v>1161</v>
      </c>
      <c r="H29">
        <v>187.5</v>
      </c>
      <c r="I29">
        <v>23.7</v>
      </c>
      <c r="J29">
        <v>77088</v>
      </c>
    </row>
    <row r="30" spans="1:13" ht="15" x14ac:dyDescent="0.25">
      <c r="A30">
        <v>2015</v>
      </c>
      <c r="B30" t="s">
        <v>48</v>
      </c>
      <c r="C30" t="s">
        <v>154</v>
      </c>
      <c r="D30" t="s">
        <v>153</v>
      </c>
      <c r="E30" t="s">
        <v>607</v>
      </c>
      <c r="F30" t="s">
        <v>734</v>
      </c>
      <c r="G30" t="s">
        <v>1161</v>
      </c>
      <c r="H30">
        <v>217.79</v>
      </c>
      <c r="I30">
        <v>16.71</v>
      </c>
      <c r="J30">
        <v>85592.5</v>
      </c>
    </row>
    <row r="31" spans="1:13" ht="15" x14ac:dyDescent="0.25">
      <c r="A31">
        <v>2015</v>
      </c>
      <c r="B31" t="s">
        <v>48</v>
      </c>
      <c r="C31" t="s">
        <v>243</v>
      </c>
      <c r="D31" t="s">
        <v>242</v>
      </c>
      <c r="E31" t="s">
        <v>608</v>
      </c>
      <c r="F31" t="s">
        <v>735</v>
      </c>
      <c r="G31" t="s">
        <v>1161</v>
      </c>
      <c r="H31">
        <v>245.5</v>
      </c>
      <c r="I31">
        <v>21.34</v>
      </c>
      <c r="J31">
        <v>97396.599999999991</v>
      </c>
    </row>
    <row r="32" spans="1:13" ht="15" x14ac:dyDescent="0.25">
      <c r="A32">
        <v>2015</v>
      </c>
      <c r="B32" t="s">
        <v>48</v>
      </c>
      <c r="C32" t="s">
        <v>260</v>
      </c>
      <c r="D32" t="s">
        <v>259</v>
      </c>
      <c r="E32" t="s">
        <v>609</v>
      </c>
      <c r="F32" t="s">
        <v>697</v>
      </c>
      <c r="G32" t="s">
        <v>1161</v>
      </c>
      <c r="H32">
        <v>290.49</v>
      </c>
      <c r="I32">
        <v>18.729999999999997</v>
      </c>
      <c r="J32">
        <v>112865.3</v>
      </c>
    </row>
    <row r="33" spans="1:10" ht="15" x14ac:dyDescent="0.25">
      <c r="A33">
        <v>2015</v>
      </c>
      <c r="B33" t="s">
        <v>48</v>
      </c>
      <c r="C33" t="s">
        <v>151</v>
      </c>
      <c r="D33" t="s">
        <v>150</v>
      </c>
      <c r="E33" t="s">
        <v>610</v>
      </c>
      <c r="F33" t="s">
        <v>698</v>
      </c>
      <c r="G33" t="s">
        <v>1161</v>
      </c>
      <c r="H33">
        <v>334</v>
      </c>
      <c r="I33">
        <v>26.09</v>
      </c>
      <c r="J33">
        <v>131432.84999999998</v>
      </c>
    </row>
    <row r="34" spans="1:10" ht="15" x14ac:dyDescent="0.25">
      <c r="A34">
        <v>2015</v>
      </c>
      <c r="B34" t="s">
        <v>48</v>
      </c>
      <c r="C34" t="s">
        <v>175</v>
      </c>
      <c r="D34" t="s">
        <v>174</v>
      </c>
      <c r="E34" t="s">
        <v>611</v>
      </c>
      <c r="F34" t="s">
        <v>736</v>
      </c>
      <c r="G34" t="s">
        <v>1161</v>
      </c>
      <c r="H34">
        <v>66.45</v>
      </c>
      <c r="I34">
        <v>12.120000000000001</v>
      </c>
      <c r="J34">
        <v>28678.050000000003</v>
      </c>
    </row>
    <row r="35" spans="1:10" ht="15" x14ac:dyDescent="0.25">
      <c r="A35">
        <v>2015</v>
      </c>
      <c r="B35" t="s">
        <v>48</v>
      </c>
      <c r="C35" t="s">
        <v>277</v>
      </c>
      <c r="D35" t="s">
        <v>276</v>
      </c>
      <c r="E35" t="s">
        <v>612</v>
      </c>
      <c r="F35" t="s">
        <v>737</v>
      </c>
      <c r="G35" t="s">
        <v>1161</v>
      </c>
      <c r="H35">
        <v>101.93</v>
      </c>
      <c r="I35">
        <v>16.100000000000001</v>
      </c>
      <c r="J35">
        <v>43080.95</v>
      </c>
    </row>
    <row r="36" spans="1:10" ht="15" x14ac:dyDescent="0.25">
      <c r="A36">
        <v>2015</v>
      </c>
      <c r="B36" t="s">
        <v>48</v>
      </c>
      <c r="C36" t="s">
        <v>67</v>
      </c>
      <c r="D36" t="s">
        <v>66</v>
      </c>
      <c r="E36" t="s">
        <v>613</v>
      </c>
      <c r="F36" t="s">
        <v>740</v>
      </c>
      <c r="G36" t="s">
        <v>1161</v>
      </c>
      <c r="H36">
        <v>83.58</v>
      </c>
      <c r="I36">
        <v>12.120000000000001</v>
      </c>
      <c r="J36">
        <v>34930.5</v>
      </c>
    </row>
    <row r="37" spans="1:10" ht="15" x14ac:dyDescent="0.25">
      <c r="A37">
        <v>2015</v>
      </c>
      <c r="B37" t="s">
        <v>48</v>
      </c>
      <c r="C37" t="s">
        <v>149</v>
      </c>
      <c r="D37" t="s">
        <v>148</v>
      </c>
      <c r="E37" t="s">
        <v>614</v>
      </c>
      <c r="F37" t="s">
        <v>741</v>
      </c>
      <c r="G37" t="s">
        <v>1161</v>
      </c>
      <c r="H37">
        <v>119.07</v>
      </c>
      <c r="I37">
        <v>16.100000000000001</v>
      </c>
      <c r="J37">
        <v>49337.049999999996</v>
      </c>
    </row>
    <row r="38" spans="1:10" ht="15" x14ac:dyDescent="0.25">
      <c r="A38">
        <v>2015</v>
      </c>
      <c r="B38" t="s">
        <v>48</v>
      </c>
      <c r="C38" t="s">
        <v>109</v>
      </c>
      <c r="D38" t="s">
        <v>108</v>
      </c>
      <c r="E38" t="s">
        <v>615</v>
      </c>
      <c r="F38" t="s">
        <v>756</v>
      </c>
      <c r="G38" t="s">
        <v>1161</v>
      </c>
      <c r="H38">
        <v>98.09</v>
      </c>
      <c r="I38">
        <v>12.120000000000001</v>
      </c>
      <c r="J38">
        <v>40226.65</v>
      </c>
    </row>
    <row r="39" spans="1:10" ht="15" x14ac:dyDescent="0.25">
      <c r="A39">
        <v>2015</v>
      </c>
      <c r="B39" t="s">
        <v>48</v>
      </c>
      <c r="C39" t="s">
        <v>75</v>
      </c>
      <c r="D39" t="s">
        <v>74</v>
      </c>
      <c r="E39" t="s">
        <v>616</v>
      </c>
      <c r="F39" t="s">
        <v>757</v>
      </c>
      <c r="G39" t="s">
        <v>1161</v>
      </c>
      <c r="H39">
        <v>133.57</v>
      </c>
      <c r="I39">
        <v>16.100000000000001</v>
      </c>
      <c r="J39">
        <v>54629.549999999996</v>
      </c>
    </row>
    <row r="40" spans="1:10" ht="15" x14ac:dyDescent="0.25">
      <c r="A40">
        <v>2015</v>
      </c>
      <c r="B40" t="s">
        <v>48</v>
      </c>
      <c r="C40" t="s">
        <v>313</v>
      </c>
      <c r="D40" t="s">
        <v>312</v>
      </c>
      <c r="E40" t="s">
        <v>617</v>
      </c>
      <c r="F40" t="s">
        <v>758</v>
      </c>
      <c r="G40" t="s">
        <v>1161</v>
      </c>
      <c r="H40">
        <v>113.99</v>
      </c>
      <c r="I40">
        <v>12.7</v>
      </c>
      <c r="J40">
        <v>46241.85</v>
      </c>
    </row>
    <row r="41" spans="1:10" ht="15" x14ac:dyDescent="0.25">
      <c r="A41">
        <v>2015</v>
      </c>
      <c r="B41" t="s">
        <v>48</v>
      </c>
      <c r="C41" t="s">
        <v>115</v>
      </c>
      <c r="D41" t="s">
        <v>114</v>
      </c>
      <c r="E41" t="s">
        <v>618</v>
      </c>
      <c r="F41" t="s">
        <v>759</v>
      </c>
      <c r="G41" t="s">
        <v>1161</v>
      </c>
      <c r="H41">
        <v>149.47999999999999</v>
      </c>
      <c r="I41">
        <v>16.690000000000001</v>
      </c>
      <c r="J41">
        <v>60652.049999999996</v>
      </c>
    </row>
    <row r="42" spans="1:10" ht="15" x14ac:dyDescent="0.25">
      <c r="A42">
        <v>2015</v>
      </c>
      <c r="B42" t="s">
        <v>48</v>
      </c>
      <c r="C42" t="s">
        <v>192</v>
      </c>
      <c r="D42" t="s">
        <v>191</v>
      </c>
      <c r="E42" t="s">
        <v>619</v>
      </c>
      <c r="F42" t="s">
        <v>765</v>
      </c>
      <c r="G42" t="s">
        <v>1161</v>
      </c>
      <c r="H42">
        <v>111.4</v>
      </c>
      <c r="I42">
        <v>12.120000000000001</v>
      </c>
      <c r="J42">
        <v>45084.800000000003</v>
      </c>
    </row>
    <row r="43" spans="1:10" ht="15" x14ac:dyDescent="0.25">
      <c r="A43">
        <v>2015</v>
      </c>
      <c r="B43" t="s">
        <v>48</v>
      </c>
      <c r="C43" t="s">
        <v>83</v>
      </c>
      <c r="D43" t="s">
        <v>82</v>
      </c>
      <c r="E43" t="s">
        <v>620</v>
      </c>
      <c r="F43" t="s">
        <v>766</v>
      </c>
      <c r="G43" t="s">
        <v>1161</v>
      </c>
      <c r="H43">
        <v>146.91</v>
      </c>
      <c r="I43">
        <v>16.100000000000001</v>
      </c>
      <c r="J43">
        <v>59498.649999999994</v>
      </c>
    </row>
    <row r="44" spans="1:10" ht="15" x14ac:dyDescent="0.25">
      <c r="A44">
        <v>2015</v>
      </c>
      <c r="B44" t="s">
        <v>48</v>
      </c>
      <c r="C44" t="s">
        <v>185</v>
      </c>
      <c r="D44" t="s">
        <v>184</v>
      </c>
      <c r="E44" t="s">
        <v>621</v>
      </c>
      <c r="F44" t="s">
        <v>767</v>
      </c>
      <c r="G44" t="s">
        <v>1161</v>
      </c>
      <c r="H44">
        <v>129.01</v>
      </c>
      <c r="I44">
        <v>12.7</v>
      </c>
      <c r="J44">
        <v>51724.149999999994</v>
      </c>
    </row>
    <row r="45" spans="1:10" ht="15" x14ac:dyDescent="0.25">
      <c r="A45">
        <v>2015</v>
      </c>
      <c r="B45" t="s">
        <v>48</v>
      </c>
      <c r="C45" t="s">
        <v>363</v>
      </c>
      <c r="D45" t="s">
        <v>362</v>
      </c>
      <c r="E45" t="s">
        <v>622</v>
      </c>
      <c r="F45" t="s">
        <v>768</v>
      </c>
      <c r="G45" t="s">
        <v>1161</v>
      </c>
      <c r="H45">
        <v>164.5</v>
      </c>
      <c r="I45">
        <v>16.690000000000001</v>
      </c>
      <c r="J45">
        <v>66134.350000000006</v>
      </c>
    </row>
    <row r="46" spans="1:10" ht="15" x14ac:dyDescent="0.25">
      <c r="A46">
        <v>2015</v>
      </c>
      <c r="B46" t="s">
        <v>48</v>
      </c>
      <c r="C46" t="s">
        <v>280</v>
      </c>
      <c r="D46" t="s">
        <v>279</v>
      </c>
      <c r="E46" t="s">
        <v>623</v>
      </c>
      <c r="F46" t="s">
        <v>773</v>
      </c>
      <c r="G46" t="s">
        <v>1161</v>
      </c>
      <c r="H46">
        <v>134.44</v>
      </c>
      <c r="I46">
        <v>13.030000000000001</v>
      </c>
      <c r="J46">
        <v>53826.55</v>
      </c>
    </row>
    <row r="47" spans="1:10" ht="15" x14ac:dyDescent="0.25">
      <c r="A47">
        <v>2015</v>
      </c>
      <c r="B47" t="s">
        <v>48</v>
      </c>
      <c r="C47" t="s">
        <v>170</v>
      </c>
      <c r="D47" t="s">
        <v>169</v>
      </c>
      <c r="E47" t="s">
        <v>624</v>
      </c>
      <c r="F47" t="s">
        <v>774</v>
      </c>
      <c r="G47" t="s">
        <v>1161</v>
      </c>
      <c r="H47">
        <v>183</v>
      </c>
      <c r="I47">
        <v>17.62</v>
      </c>
      <c r="J47">
        <v>73226.3</v>
      </c>
    </row>
    <row r="48" spans="1:10" ht="15" x14ac:dyDescent="0.25">
      <c r="A48">
        <v>2015</v>
      </c>
      <c r="B48" t="s">
        <v>48</v>
      </c>
      <c r="C48" t="s">
        <v>226</v>
      </c>
      <c r="D48" t="s">
        <v>225</v>
      </c>
      <c r="E48" t="s">
        <v>625</v>
      </c>
      <c r="F48" t="s">
        <v>775</v>
      </c>
      <c r="G48" t="s">
        <v>1161</v>
      </c>
      <c r="H48">
        <v>157</v>
      </c>
      <c r="I48">
        <v>16.2</v>
      </c>
      <c r="J48">
        <v>63217.999999999993</v>
      </c>
    </row>
    <row r="49" spans="1:10" ht="15" x14ac:dyDescent="0.25">
      <c r="A49">
        <v>2015</v>
      </c>
      <c r="B49" t="s">
        <v>48</v>
      </c>
      <c r="C49" t="s">
        <v>73</v>
      </c>
      <c r="D49" t="s">
        <v>72</v>
      </c>
      <c r="E49" t="s">
        <v>626</v>
      </c>
      <c r="F49" t="s">
        <v>776</v>
      </c>
      <c r="G49" t="s">
        <v>1161</v>
      </c>
      <c r="H49">
        <v>205.56</v>
      </c>
      <c r="I49">
        <v>20.79</v>
      </c>
      <c r="J49">
        <v>82617.75</v>
      </c>
    </row>
    <row r="50" spans="1:10" ht="15" x14ac:dyDescent="0.25">
      <c r="A50">
        <v>2015</v>
      </c>
      <c r="B50" t="s">
        <v>48</v>
      </c>
      <c r="C50" t="s">
        <v>368</v>
      </c>
      <c r="D50" t="s">
        <v>367</v>
      </c>
      <c r="E50" t="s">
        <v>627</v>
      </c>
      <c r="F50" t="s">
        <v>782</v>
      </c>
      <c r="G50" t="s">
        <v>1161</v>
      </c>
      <c r="H50">
        <v>127.45</v>
      </c>
      <c r="I50">
        <v>12.040000000000001</v>
      </c>
      <c r="J50">
        <v>50913.850000000006</v>
      </c>
    </row>
    <row r="51" spans="1:10" ht="15" x14ac:dyDescent="0.25">
      <c r="A51">
        <v>2015</v>
      </c>
      <c r="B51" t="s">
        <v>48</v>
      </c>
      <c r="C51" t="s">
        <v>50</v>
      </c>
      <c r="D51" t="s">
        <v>49</v>
      </c>
      <c r="E51" t="s">
        <v>628</v>
      </c>
      <c r="F51" t="s">
        <v>783</v>
      </c>
      <c r="G51" t="s">
        <v>1161</v>
      </c>
      <c r="H51">
        <v>175.98</v>
      </c>
      <c r="I51">
        <v>16.61</v>
      </c>
      <c r="J51">
        <v>70295.349999999991</v>
      </c>
    </row>
    <row r="52" spans="1:10" ht="15" x14ac:dyDescent="0.25">
      <c r="A52">
        <v>2015</v>
      </c>
      <c r="B52" t="s">
        <v>48</v>
      </c>
      <c r="C52" t="s">
        <v>91</v>
      </c>
      <c r="D52" t="s">
        <v>90</v>
      </c>
      <c r="E52" t="s">
        <v>629</v>
      </c>
      <c r="F52" t="s">
        <v>784</v>
      </c>
      <c r="G52" t="s">
        <v>1161</v>
      </c>
      <c r="H52">
        <v>150.9</v>
      </c>
      <c r="I52">
        <v>15.16</v>
      </c>
      <c r="J52">
        <v>60611.9</v>
      </c>
    </row>
    <row r="53" spans="1:10" ht="15" x14ac:dyDescent="0.25">
      <c r="A53">
        <v>2015</v>
      </c>
      <c r="B53" t="s">
        <v>48</v>
      </c>
      <c r="C53" t="s">
        <v>60</v>
      </c>
      <c r="D53" t="s">
        <v>59</v>
      </c>
      <c r="E53" t="s">
        <v>630</v>
      </c>
      <c r="F53" t="s">
        <v>785</v>
      </c>
      <c r="G53" t="s">
        <v>1161</v>
      </c>
      <c r="H53">
        <v>199.45</v>
      </c>
      <c r="I53">
        <v>19.73</v>
      </c>
      <c r="J53">
        <v>80000.7</v>
      </c>
    </row>
    <row r="54" spans="1:10" ht="15" x14ac:dyDescent="0.25">
      <c r="A54">
        <v>2015</v>
      </c>
      <c r="B54" t="s">
        <v>48</v>
      </c>
      <c r="C54" t="s">
        <v>81</v>
      </c>
      <c r="D54" t="s">
        <v>80</v>
      </c>
      <c r="E54" t="s">
        <v>631</v>
      </c>
      <c r="F54" t="s">
        <v>791</v>
      </c>
      <c r="G54" t="s">
        <v>1161</v>
      </c>
      <c r="H54">
        <v>165.45</v>
      </c>
      <c r="I54">
        <v>13.030000000000001</v>
      </c>
      <c r="J54">
        <v>65145.2</v>
      </c>
    </row>
    <row r="55" spans="1:10" ht="15" x14ac:dyDescent="0.25">
      <c r="A55">
        <v>2015</v>
      </c>
      <c r="B55" t="s">
        <v>48</v>
      </c>
      <c r="C55" t="s">
        <v>120</v>
      </c>
      <c r="D55" t="s">
        <v>119</v>
      </c>
      <c r="E55" t="s">
        <v>632</v>
      </c>
      <c r="F55" t="s">
        <v>792</v>
      </c>
      <c r="G55" t="s">
        <v>1161</v>
      </c>
      <c r="H55">
        <v>247.54</v>
      </c>
      <c r="I55">
        <v>17.62</v>
      </c>
      <c r="J55">
        <v>96783.4</v>
      </c>
    </row>
    <row r="56" spans="1:10" ht="15" x14ac:dyDescent="0.25">
      <c r="A56">
        <v>2015</v>
      </c>
      <c r="B56" t="s">
        <v>48</v>
      </c>
      <c r="C56" t="s">
        <v>382</v>
      </c>
      <c r="D56" t="s">
        <v>381</v>
      </c>
      <c r="E56" t="s">
        <v>633</v>
      </c>
      <c r="F56" t="s">
        <v>793</v>
      </c>
      <c r="G56" t="s">
        <v>1161</v>
      </c>
      <c r="H56">
        <v>194</v>
      </c>
      <c r="I56">
        <v>16.2</v>
      </c>
      <c r="J56">
        <v>76723</v>
      </c>
    </row>
    <row r="57" spans="1:10" ht="15" x14ac:dyDescent="0.25">
      <c r="A57">
        <v>2015</v>
      </c>
      <c r="B57" t="s">
        <v>48</v>
      </c>
      <c r="C57" t="s">
        <v>161</v>
      </c>
      <c r="D57" t="s">
        <v>160</v>
      </c>
      <c r="E57" t="s">
        <v>634</v>
      </c>
      <c r="F57" t="s">
        <v>794</v>
      </c>
      <c r="G57" t="s">
        <v>1161</v>
      </c>
      <c r="H57">
        <v>276.08</v>
      </c>
      <c r="I57">
        <v>20.79</v>
      </c>
      <c r="J57">
        <v>108357.55</v>
      </c>
    </row>
    <row r="58" spans="1:10" ht="15" x14ac:dyDescent="0.25">
      <c r="A58">
        <v>2015</v>
      </c>
      <c r="B58" t="s">
        <v>48</v>
      </c>
      <c r="C58" t="s">
        <v>237</v>
      </c>
      <c r="D58" t="s">
        <v>236</v>
      </c>
      <c r="E58" t="s">
        <v>635</v>
      </c>
      <c r="F58" t="s">
        <v>800</v>
      </c>
      <c r="G58" t="s">
        <v>1161</v>
      </c>
      <c r="H58">
        <v>160.71</v>
      </c>
      <c r="I58">
        <v>16.7</v>
      </c>
      <c r="J58">
        <v>64754.65</v>
      </c>
    </row>
    <row r="59" spans="1:10" ht="15" x14ac:dyDescent="0.25">
      <c r="A59">
        <v>2015</v>
      </c>
      <c r="B59" t="s">
        <v>48</v>
      </c>
      <c r="C59" t="s">
        <v>199</v>
      </c>
      <c r="D59" t="s">
        <v>198</v>
      </c>
      <c r="E59" t="s">
        <v>636</v>
      </c>
      <c r="F59" t="s">
        <v>801</v>
      </c>
      <c r="G59" t="s">
        <v>1161</v>
      </c>
      <c r="H59">
        <v>209.27</v>
      </c>
      <c r="I59">
        <v>22.18</v>
      </c>
      <c r="J59">
        <v>84479.25</v>
      </c>
    </row>
    <row r="60" spans="1:10" ht="15" x14ac:dyDescent="0.25">
      <c r="A60">
        <v>2015</v>
      </c>
      <c r="B60" t="s">
        <v>48</v>
      </c>
      <c r="C60" t="s">
        <v>122</v>
      </c>
      <c r="D60" t="s">
        <v>121</v>
      </c>
      <c r="E60" t="s">
        <v>637</v>
      </c>
      <c r="F60" t="s">
        <v>802</v>
      </c>
      <c r="G60" t="s">
        <v>1161</v>
      </c>
      <c r="H60">
        <v>183.26</v>
      </c>
      <c r="I60">
        <v>19.860000000000003</v>
      </c>
      <c r="J60">
        <v>74138.8</v>
      </c>
    </row>
    <row r="61" spans="1:10" ht="15" x14ac:dyDescent="0.25">
      <c r="A61">
        <v>2015</v>
      </c>
      <c r="B61" t="s">
        <v>48</v>
      </c>
      <c r="C61" t="s">
        <v>111</v>
      </c>
      <c r="D61" t="s">
        <v>110</v>
      </c>
      <c r="E61" t="s">
        <v>638</v>
      </c>
      <c r="F61" t="s">
        <v>803</v>
      </c>
      <c r="G61" t="s">
        <v>1161</v>
      </c>
      <c r="H61">
        <v>231.81</v>
      </c>
      <c r="I61">
        <v>25.35</v>
      </c>
      <c r="J61">
        <v>93863.400000000009</v>
      </c>
    </row>
    <row r="62" spans="1:10" ht="15" x14ac:dyDescent="0.25">
      <c r="A62">
        <v>2015</v>
      </c>
      <c r="B62" t="s">
        <v>48</v>
      </c>
      <c r="C62" t="s">
        <v>132</v>
      </c>
      <c r="D62" t="s">
        <v>131</v>
      </c>
      <c r="E62" t="s">
        <v>639</v>
      </c>
      <c r="F62" t="s">
        <v>744</v>
      </c>
      <c r="G62" t="s">
        <v>1161</v>
      </c>
      <c r="H62">
        <v>140.71</v>
      </c>
      <c r="I62">
        <v>16.690000000000001</v>
      </c>
      <c r="J62">
        <v>57451</v>
      </c>
    </row>
    <row r="63" spans="1:10" ht="15" x14ac:dyDescent="0.25">
      <c r="A63">
        <v>2015</v>
      </c>
      <c r="B63" t="s">
        <v>48</v>
      </c>
      <c r="C63" t="s">
        <v>388</v>
      </c>
      <c r="D63" t="s">
        <v>387</v>
      </c>
      <c r="E63" t="s">
        <v>640</v>
      </c>
      <c r="F63" t="s">
        <v>747</v>
      </c>
      <c r="G63" t="s">
        <v>1161</v>
      </c>
      <c r="H63">
        <v>181.3</v>
      </c>
      <c r="I63">
        <v>16.690000000000001</v>
      </c>
      <c r="J63">
        <v>72266.350000000006</v>
      </c>
    </row>
    <row r="64" spans="1:10" ht="15" x14ac:dyDescent="0.25">
      <c r="A64">
        <v>2015</v>
      </c>
      <c r="B64" t="s">
        <v>48</v>
      </c>
      <c r="C64" t="s">
        <v>145</v>
      </c>
      <c r="D64" t="s">
        <v>144</v>
      </c>
      <c r="E64" t="s">
        <v>641</v>
      </c>
      <c r="F64" t="s">
        <v>749</v>
      </c>
      <c r="G64" t="s">
        <v>1161</v>
      </c>
      <c r="H64">
        <v>223.71</v>
      </c>
      <c r="I64">
        <v>22.66</v>
      </c>
      <c r="J64">
        <v>89925.05</v>
      </c>
    </row>
    <row r="65" spans="1:10" ht="15" x14ac:dyDescent="0.25">
      <c r="A65">
        <v>2015</v>
      </c>
      <c r="B65" t="s">
        <v>48</v>
      </c>
      <c r="C65" t="s">
        <v>333</v>
      </c>
      <c r="D65" t="s">
        <v>332</v>
      </c>
      <c r="E65" t="s">
        <v>642</v>
      </c>
      <c r="F65" t="s">
        <v>751</v>
      </c>
      <c r="G65" t="s">
        <v>1161</v>
      </c>
      <c r="H65">
        <v>263.13</v>
      </c>
      <c r="I65">
        <v>22.66</v>
      </c>
      <c r="J65">
        <v>104313.35</v>
      </c>
    </row>
    <row r="66" spans="1:10" ht="15" x14ac:dyDescent="0.25">
      <c r="A66">
        <v>2015</v>
      </c>
      <c r="B66" t="s">
        <v>48</v>
      </c>
      <c r="C66" t="s">
        <v>354</v>
      </c>
      <c r="D66" t="s">
        <v>353</v>
      </c>
      <c r="E66" t="s">
        <v>643</v>
      </c>
      <c r="F66" t="s">
        <v>753</v>
      </c>
      <c r="G66" t="s">
        <v>1161</v>
      </c>
      <c r="H66">
        <v>261.93</v>
      </c>
      <c r="I66">
        <v>22.66</v>
      </c>
      <c r="J66">
        <v>103875.35</v>
      </c>
    </row>
    <row r="67" spans="1:10" ht="15" x14ac:dyDescent="0.25">
      <c r="A67">
        <v>2015</v>
      </c>
      <c r="B67" t="s">
        <v>48</v>
      </c>
      <c r="C67" t="s">
        <v>564</v>
      </c>
      <c r="D67" t="s">
        <v>563</v>
      </c>
      <c r="E67" t="s">
        <v>644</v>
      </c>
      <c r="F67" t="s">
        <v>755</v>
      </c>
      <c r="G67" t="s">
        <v>1161</v>
      </c>
      <c r="H67">
        <v>340.98</v>
      </c>
      <c r="I67">
        <v>23.72</v>
      </c>
      <c r="J67">
        <v>133115.50000000003</v>
      </c>
    </row>
    <row r="68" spans="1:10" ht="15" x14ac:dyDescent="0.25">
      <c r="A68">
        <v>2015</v>
      </c>
      <c r="B68" t="s">
        <v>48</v>
      </c>
      <c r="C68" t="s">
        <v>133</v>
      </c>
      <c r="D68" t="s">
        <v>808</v>
      </c>
      <c r="E68" t="s">
        <v>809</v>
      </c>
      <c r="F68" t="s">
        <v>810</v>
      </c>
      <c r="G68" t="s">
        <v>1161</v>
      </c>
      <c r="H68">
        <v>89.48</v>
      </c>
      <c r="I68">
        <v>12.4</v>
      </c>
      <c r="J68">
        <v>37186.200000000004</v>
      </c>
    </row>
    <row r="69" spans="1:10" x14ac:dyDescent="0.3">
      <c r="A69">
        <v>2015</v>
      </c>
      <c r="B69" t="s">
        <v>48</v>
      </c>
      <c r="C69" t="s">
        <v>207</v>
      </c>
      <c r="D69" t="s">
        <v>811</v>
      </c>
      <c r="E69" t="s">
        <v>812</v>
      </c>
      <c r="F69" t="s">
        <v>813</v>
      </c>
      <c r="G69" t="s">
        <v>1161</v>
      </c>
      <c r="H69">
        <v>133.26</v>
      </c>
      <c r="I69">
        <v>16.600000000000001</v>
      </c>
      <c r="J69">
        <v>54698.899999999994</v>
      </c>
    </row>
    <row r="70" spans="1:10" x14ac:dyDescent="0.3">
      <c r="A70">
        <v>2015</v>
      </c>
      <c r="B70" t="s">
        <v>48</v>
      </c>
      <c r="C70" t="s">
        <v>338</v>
      </c>
      <c r="D70" t="s">
        <v>820</v>
      </c>
      <c r="E70" t="s">
        <v>821</v>
      </c>
      <c r="F70" t="s">
        <v>1162</v>
      </c>
      <c r="G70" t="s">
        <v>1161</v>
      </c>
      <c r="H70">
        <v>118.87</v>
      </c>
      <c r="I70">
        <v>12.4</v>
      </c>
      <c r="J70">
        <v>47913.55</v>
      </c>
    </row>
    <row r="71" spans="1:10" x14ac:dyDescent="0.3">
      <c r="A71">
        <v>2015</v>
      </c>
      <c r="B71" t="s">
        <v>48</v>
      </c>
      <c r="C71" t="s">
        <v>116</v>
      </c>
      <c r="D71" t="s">
        <v>823</v>
      </c>
      <c r="E71" t="s">
        <v>824</v>
      </c>
      <c r="F71" t="s">
        <v>1163</v>
      </c>
      <c r="G71" t="s">
        <v>1161</v>
      </c>
      <c r="H71">
        <v>158.74</v>
      </c>
      <c r="I71">
        <v>16.600000000000001</v>
      </c>
      <c r="J71">
        <v>63999.1</v>
      </c>
    </row>
    <row r="72" spans="1:10" x14ac:dyDescent="0.3">
      <c r="A72">
        <v>2015</v>
      </c>
      <c r="B72" t="s">
        <v>48</v>
      </c>
      <c r="C72" t="s">
        <v>76</v>
      </c>
      <c r="D72" t="s">
        <v>832</v>
      </c>
      <c r="E72" t="s">
        <v>833</v>
      </c>
      <c r="F72" t="s">
        <v>834</v>
      </c>
      <c r="G72" t="s">
        <v>1161</v>
      </c>
      <c r="H72">
        <v>104.18</v>
      </c>
      <c r="I72">
        <v>12.4</v>
      </c>
      <c r="J72">
        <v>42551.700000000004</v>
      </c>
    </row>
    <row r="73" spans="1:10" x14ac:dyDescent="0.3">
      <c r="A73">
        <v>2015</v>
      </c>
      <c r="B73" t="s">
        <v>48</v>
      </c>
      <c r="C73" t="s">
        <v>159</v>
      </c>
      <c r="D73" t="s">
        <v>835</v>
      </c>
      <c r="E73" t="s">
        <v>836</v>
      </c>
      <c r="F73" t="s">
        <v>837</v>
      </c>
      <c r="G73" t="s">
        <v>1161</v>
      </c>
      <c r="H73">
        <v>147.96</v>
      </c>
      <c r="I73">
        <v>16.600000000000001</v>
      </c>
      <c r="J73">
        <v>60064.4</v>
      </c>
    </row>
    <row r="74" spans="1:10" x14ac:dyDescent="0.3">
      <c r="A74">
        <v>2015</v>
      </c>
      <c r="B74" t="s">
        <v>48</v>
      </c>
      <c r="C74" t="s">
        <v>331</v>
      </c>
      <c r="D74" t="s">
        <v>838</v>
      </c>
      <c r="E74" t="s">
        <v>839</v>
      </c>
      <c r="F74" t="s">
        <v>840</v>
      </c>
      <c r="G74" t="s">
        <v>1161</v>
      </c>
      <c r="H74">
        <v>135.22</v>
      </c>
      <c r="I74">
        <v>13.040000000000001</v>
      </c>
      <c r="J74">
        <v>54114.899999999994</v>
      </c>
    </row>
    <row r="75" spans="1:10" x14ac:dyDescent="0.3">
      <c r="A75">
        <v>2015</v>
      </c>
      <c r="B75" t="s">
        <v>48</v>
      </c>
      <c r="C75" t="s">
        <v>140</v>
      </c>
      <c r="D75" t="s">
        <v>841</v>
      </c>
      <c r="E75" t="s">
        <v>842</v>
      </c>
      <c r="F75" t="s">
        <v>843</v>
      </c>
      <c r="G75" t="s">
        <v>1161</v>
      </c>
      <c r="H75">
        <v>179.02</v>
      </c>
      <c r="I75">
        <v>17.25</v>
      </c>
      <c r="J75">
        <v>71638.55</v>
      </c>
    </row>
    <row r="76" spans="1:10" x14ac:dyDescent="0.3">
      <c r="A76">
        <v>2015</v>
      </c>
      <c r="B76" t="s">
        <v>48</v>
      </c>
      <c r="C76" t="s">
        <v>204</v>
      </c>
      <c r="D76" t="s">
        <v>856</v>
      </c>
      <c r="E76" t="s">
        <v>857</v>
      </c>
      <c r="F76" t="s">
        <v>858</v>
      </c>
      <c r="G76" t="s">
        <v>1161</v>
      </c>
      <c r="H76">
        <v>120.74</v>
      </c>
      <c r="I76">
        <v>12.4</v>
      </c>
      <c r="J76">
        <v>48596.1</v>
      </c>
    </row>
    <row r="77" spans="1:10" x14ac:dyDescent="0.3">
      <c r="A77">
        <v>2015</v>
      </c>
      <c r="B77" t="s">
        <v>48</v>
      </c>
      <c r="C77" t="s">
        <v>100</v>
      </c>
      <c r="D77" t="s">
        <v>859</v>
      </c>
      <c r="E77" t="s">
        <v>860</v>
      </c>
      <c r="F77" t="s">
        <v>861</v>
      </c>
      <c r="G77" t="s">
        <v>1161</v>
      </c>
      <c r="H77">
        <v>160.6</v>
      </c>
      <c r="I77">
        <v>16.600000000000001</v>
      </c>
      <c r="J77">
        <v>64677.999999999993</v>
      </c>
    </row>
    <row r="78" spans="1:10" x14ac:dyDescent="0.3">
      <c r="A78">
        <v>2015</v>
      </c>
      <c r="B78" t="s">
        <v>48</v>
      </c>
      <c r="C78" t="s">
        <v>118</v>
      </c>
      <c r="D78" t="s">
        <v>862</v>
      </c>
      <c r="E78" t="s">
        <v>863</v>
      </c>
      <c r="F78" t="s">
        <v>864</v>
      </c>
      <c r="G78" t="s">
        <v>1161</v>
      </c>
      <c r="H78">
        <v>152.31</v>
      </c>
      <c r="I78">
        <v>13.040000000000001</v>
      </c>
      <c r="J78">
        <v>60352.75</v>
      </c>
    </row>
    <row r="79" spans="1:10" x14ac:dyDescent="0.3">
      <c r="A79">
        <v>2015</v>
      </c>
      <c r="B79" t="s">
        <v>48</v>
      </c>
      <c r="C79" t="s">
        <v>316</v>
      </c>
      <c r="D79" t="s">
        <v>865</v>
      </c>
      <c r="E79" t="s">
        <v>866</v>
      </c>
      <c r="F79" t="s">
        <v>867</v>
      </c>
      <c r="G79" t="s">
        <v>1161</v>
      </c>
      <c r="H79">
        <v>192.17</v>
      </c>
      <c r="I79">
        <v>17.25</v>
      </c>
      <c r="J79">
        <v>76438.299999999988</v>
      </c>
    </row>
    <row r="80" spans="1:10" x14ac:dyDescent="0.3">
      <c r="A80">
        <v>2015</v>
      </c>
      <c r="B80" t="s">
        <v>48</v>
      </c>
      <c r="C80" t="s">
        <v>355</v>
      </c>
      <c r="D80" t="s">
        <v>881</v>
      </c>
      <c r="E80" t="s">
        <v>882</v>
      </c>
      <c r="F80" t="s">
        <v>883</v>
      </c>
      <c r="G80" t="s">
        <v>1161</v>
      </c>
      <c r="H80">
        <v>143.06</v>
      </c>
      <c r="I80">
        <v>13.920000000000002</v>
      </c>
      <c r="J80">
        <v>57297.700000000004</v>
      </c>
    </row>
    <row r="81" spans="1:10" x14ac:dyDescent="0.3">
      <c r="A81">
        <v>2015</v>
      </c>
      <c r="B81" t="s">
        <v>48</v>
      </c>
      <c r="C81" t="s">
        <v>152</v>
      </c>
      <c r="D81" t="s">
        <v>884</v>
      </c>
      <c r="E81" t="s">
        <v>885</v>
      </c>
      <c r="F81" t="s">
        <v>886</v>
      </c>
      <c r="G81" t="s">
        <v>1161</v>
      </c>
      <c r="H81">
        <v>186.85</v>
      </c>
      <c r="I81">
        <v>18.510000000000002</v>
      </c>
      <c r="J81">
        <v>74956.399999999994</v>
      </c>
    </row>
    <row r="82" spans="1:10" x14ac:dyDescent="0.3">
      <c r="A82">
        <v>2015</v>
      </c>
      <c r="B82" t="s">
        <v>48</v>
      </c>
      <c r="C82" t="s">
        <v>357</v>
      </c>
      <c r="D82" t="s">
        <v>887</v>
      </c>
      <c r="E82" t="s">
        <v>888</v>
      </c>
      <c r="F82" t="s">
        <v>889</v>
      </c>
      <c r="G82" t="s">
        <v>1161</v>
      </c>
      <c r="H82">
        <v>179.5</v>
      </c>
      <c r="I82">
        <v>17.09</v>
      </c>
      <c r="J82">
        <v>71755.350000000006</v>
      </c>
    </row>
    <row r="83" spans="1:10" x14ac:dyDescent="0.3">
      <c r="A83">
        <v>2015</v>
      </c>
      <c r="B83" t="s">
        <v>48</v>
      </c>
      <c r="C83" t="s">
        <v>84</v>
      </c>
      <c r="D83" t="s">
        <v>890</v>
      </c>
      <c r="E83" t="s">
        <v>891</v>
      </c>
      <c r="F83" t="s">
        <v>892</v>
      </c>
      <c r="G83" t="s">
        <v>1161</v>
      </c>
      <c r="H83">
        <v>223.28</v>
      </c>
      <c r="I83">
        <v>21.68</v>
      </c>
      <c r="J83">
        <v>89410.400000000009</v>
      </c>
    </row>
    <row r="84" spans="1:10" x14ac:dyDescent="0.3">
      <c r="A84">
        <v>2015</v>
      </c>
      <c r="B84" t="s">
        <v>48</v>
      </c>
      <c r="C84" t="s">
        <v>180</v>
      </c>
      <c r="D84" t="s">
        <v>906</v>
      </c>
      <c r="E84" t="s">
        <v>907</v>
      </c>
      <c r="F84" t="s">
        <v>908</v>
      </c>
      <c r="G84" t="s">
        <v>1161</v>
      </c>
      <c r="H84">
        <v>157.16999999999999</v>
      </c>
      <c r="I84">
        <v>16.34</v>
      </c>
      <c r="J84">
        <v>63331.149999999994</v>
      </c>
    </row>
    <row r="85" spans="1:10" x14ac:dyDescent="0.3">
      <c r="A85">
        <v>2015</v>
      </c>
      <c r="B85" t="s">
        <v>48</v>
      </c>
      <c r="C85" t="s">
        <v>51</v>
      </c>
      <c r="D85" t="s">
        <v>909</v>
      </c>
      <c r="E85" t="s">
        <v>910</v>
      </c>
      <c r="F85" t="s">
        <v>911</v>
      </c>
      <c r="G85" t="s">
        <v>1161</v>
      </c>
      <c r="H85">
        <v>197.04</v>
      </c>
      <c r="I85">
        <v>21.82</v>
      </c>
      <c r="J85">
        <v>79883.899999999994</v>
      </c>
    </row>
    <row r="86" spans="1:10" x14ac:dyDescent="0.3">
      <c r="A86">
        <v>2015</v>
      </c>
      <c r="B86" t="s">
        <v>48</v>
      </c>
      <c r="C86" t="s">
        <v>358</v>
      </c>
      <c r="D86" t="s">
        <v>912</v>
      </c>
      <c r="E86" t="s">
        <v>913</v>
      </c>
      <c r="F86" t="s">
        <v>914</v>
      </c>
      <c r="G86" t="s">
        <v>1161</v>
      </c>
      <c r="H86">
        <v>198.83</v>
      </c>
      <c r="I86">
        <v>19.510000000000002</v>
      </c>
      <c r="J86">
        <v>79694.100000000006</v>
      </c>
    </row>
    <row r="87" spans="1:10" x14ac:dyDescent="0.3">
      <c r="A87">
        <v>2015</v>
      </c>
      <c r="B87" t="s">
        <v>48</v>
      </c>
      <c r="C87" t="s">
        <v>139</v>
      </c>
      <c r="D87" t="s">
        <v>915</v>
      </c>
      <c r="E87" t="s">
        <v>916</v>
      </c>
      <c r="F87" t="s">
        <v>917</v>
      </c>
      <c r="G87" t="s">
        <v>1161</v>
      </c>
      <c r="H87">
        <v>238.67</v>
      </c>
      <c r="I87">
        <v>24.99</v>
      </c>
      <c r="J87">
        <v>96235.9</v>
      </c>
    </row>
    <row r="88" spans="1:10" x14ac:dyDescent="0.3">
      <c r="A88">
        <v>2015</v>
      </c>
      <c r="B88" t="s">
        <v>48</v>
      </c>
      <c r="C88" t="s">
        <v>229</v>
      </c>
      <c r="D88" t="s">
        <v>931</v>
      </c>
      <c r="E88" t="s">
        <v>932</v>
      </c>
      <c r="F88" t="s">
        <v>933</v>
      </c>
      <c r="G88" t="s">
        <v>1161</v>
      </c>
      <c r="H88">
        <v>175.64</v>
      </c>
      <c r="I88">
        <v>16.34</v>
      </c>
      <c r="J88">
        <v>70072.7</v>
      </c>
    </row>
    <row r="89" spans="1:10" x14ac:dyDescent="0.3">
      <c r="A89">
        <v>2015</v>
      </c>
      <c r="B89" t="s">
        <v>48</v>
      </c>
      <c r="C89" t="s">
        <v>211</v>
      </c>
      <c r="D89" t="s">
        <v>934</v>
      </c>
      <c r="E89" t="s">
        <v>935</v>
      </c>
      <c r="F89" t="s">
        <v>936</v>
      </c>
      <c r="G89" t="s">
        <v>1161</v>
      </c>
      <c r="H89">
        <v>209.11</v>
      </c>
      <c r="I89">
        <v>21.82</v>
      </c>
      <c r="J89">
        <v>84289.45</v>
      </c>
    </row>
    <row r="90" spans="1:10" x14ac:dyDescent="0.3">
      <c r="A90">
        <v>2015</v>
      </c>
      <c r="B90" t="s">
        <v>48</v>
      </c>
      <c r="C90" t="s">
        <v>238</v>
      </c>
      <c r="D90" t="s">
        <v>937</v>
      </c>
      <c r="E90" t="s">
        <v>938</v>
      </c>
      <c r="F90" t="s">
        <v>939</v>
      </c>
      <c r="G90" t="s">
        <v>1161</v>
      </c>
      <c r="H90">
        <v>213.85</v>
      </c>
      <c r="I90">
        <v>19.510000000000002</v>
      </c>
      <c r="J90">
        <v>85176.4</v>
      </c>
    </row>
    <row r="91" spans="1:10" x14ac:dyDescent="0.3">
      <c r="A91">
        <v>2015</v>
      </c>
      <c r="B91" t="s">
        <v>48</v>
      </c>
      <c r="C91" t="s">
        <v>347</v>
      </c>
      <c r="D91" t="s">
        <v>940</v>
      </c>
      <c r="E91" t="s">
        <v>941</v>
      </c>
      <c r="F91" t="s">
        <v>942</v>
      </c>
      <c r="G91" t="s">
        <v>1161</v>
      </c>
      <c r="H91">
        <v>247.3</v>
      </c>
      <c r="I91">
        <v>24.99</v>
      </c>
      <c r="J91">
        <v>99385.85</v>
      </c>
    </row>
    <row r="92" spans="1:10" x14ac:dyDescent="0.3">
      <c r="A92">
        <v>2015</v>
      </c>
      <c r="B92" t="s">
        <v>48</v>
      </c>
      <c r="C92" t="s">
        <v>302</v>
      </c>
      <c r="D92" t="s">
        <v>955</v>
      </c>
      <c r="E92" t="s">
        <v>956</v>
      </c>
      <c r="F92" t="s">
        <v>957</v>
      </c>
      <c r="G92" t="s">
        <v>1161</v>
      </c>
      <c r="H92">
        <v>106.17</v>
      </c>
      <c r="I92">
        <v>13.84</v>
      </c>
      <c r="J92">
        <v>43803.65</v>
      </c>
    </row>
    <row r="93" spans="1:10" x14ac:dyDescent="0.3">
      <c r="A93">
        <v>2015</v>
      </c>
      <c r="B93" t="s">
        <v>48</v>
      </c>
      <c r="C93" t="s">
        <v>55</v>
      </c>
      <c r="D93" t="s">
        <v>958</v>
      </c>
      <c r="E93" t="s">
        <v>959</v>
      </c>
      <c r="F93" t="s">
        <v>960</v>
      </c>
      <c r="G93" t="s">
        <v>1161</v>
      </c>
      <c r="H93">
        <v>155.56</v>
      </c>
      <c r="I93">
        <v>17.95</v>
      </c>
      <c r="J93">
        <v>63331.149999999994</v>
      </c>
    </row>
    <row r="94" spans="1:10" x14ac:dyDescent="0.3">
      <c r="A94">
        <v>2015</v>
      </c>
      <c r="B94" t="s">
        <v>48</v>
      </c>
      <c r="C94" t="s">
        <v>369</v>
      </c>
      <c r="D94" t="s">
        <v>961</v>
      </c>
      <c r="E94" t="s">
        <v>962</v>
      </c>
      <c r="F94" t="s">
        <v>963</v>
      </c>
      <c r="G94" t="s">
        <v>1161</v>
      </c>
      <c r="H94">
        <v>124.12</v>
      </c>
      <c r="I94">
        <v>15.040000000000001</v>
      </c>
      <c r="J94">
        <v>50793.4</v>
      </c>
    </row>
    <row r="95" spans="1:10" x14ac:dyDescent="0.3">
      <c r="A95">
        <v>2015</v>
      </c>
      <c r="B95" t="s">
        <v>48</v>
      </c>
      <c r="C95" t="s">
        <v>359</v>
      </c>
      <c r="D95" t="s">
        <v>964</v>
      </c>
      <c r="E95" t="s">
        <v>965</v>
      </c>
      <c r="F95" t="s">
        <v>966</v>
      </c>
      <c r="G95" t="s">
        <v>1161</v>
      </c>
      <c r="H95">
        <v>173.52</v>
      </c>
      <c r="I95">
        <v>19.149999999999999</v>
      </c>
      <c r="J95">
        <v>70324.55</v>
      </c>
    </row>
    <row r="96" spans="1:10" x14ac:dyDescent="0.3">
      <c r="A96">
        <v>2015</v>
      </c>
      <c r="B96" t="s">
        <v>48</v>
      </c>
      <c r="C96" t="s">
        <v>86</v>
      </c>
      <c r="D96" t="s">
        <v>979</v>
      </c>
      <c r="E96" t="s">
        <v>980</v>
      </c>
      <c r="F96" t="s">
        <v>981</v>
      </c>
      <c r="G96" t="s">
        <v>1161</v>
      </c>
      <c r="H96">
        <v>208.76</v>
      </c>
      <c r="I96">
        <v>13.84</v>
      </c>
      <c r="J96">
        <v>81249</v>
      </c>
    </row>
    <row r="97" spans="1:10" x14ac:dyDescent="0.3">
      <c r="A97">
        <v>2015</v>
      </c>
      <c r="B97" t="s">
        <v>48</v>
      </c>
      <c r="C97" t="s">
        <v>171</v>
      </c>
      <c r="D97" t="s">
        <v>982</v>
      </c>
      <c r="E97" t="s">
        <v>983</v>
      </c>
      <c r="F97" t="s">
        <v>984</v>
      </c>
      <c r="G97" t="s">
        <v>1161</v>
      </c>
      <c r="H97">
        <v>272.05</v>
      </c>
      <c r="I97">
        <v>17.95</v>
      </c>
      <c r="J97">
        <v>105850</v>
      </c>
    </row>
    <row r="98" spans="1:10" x14ac:dyDescent="0.3">
      <c r="A98">
        <v>2015</v>
      </c>
      <c r="B98" t="s">
        <v>48</v>
      </c>
      <c r="C98" t="s">
        <v>296</v>
      </c>
      <c r="D98" t="s">
        <v>985</v>
      </c>
      <c r="E98" t="s">
        <v>986</v>
      </c>
      <c r="F98" t="s">
        <v>987</v>
      </c>
      <c r="G98" t="s">
        <v>1161</v>
      </c>
      <c r="H98">
        <v>237.96</v>
      </c>
      <c r="I98">
        <v>15.040000000000001</v>
      </c>
      <c r="J98">
        <v>92345</v>
      </c>
    </row>
    <row r="99" spans="1:10" x14ac:dyDescent="0.3">
      <c r="A99">
        <v>2015</v>
      </c>
      <c r="B99" t="s">
        <v>48</v>
      </c>
      <c r="C99" t="s">
        <v>52</v>
      </c>
      <c r="D99" t="s">
        <v>988</v>
      </c>
      <c r="E99" t="s">
        <v>989</v>
      </c>
      <c r="F99" t="s">
        <v>990</v>
      </c>
      <c r="G99" t="s">
        <v>1161</v>
      </c>
      <c r="H99">
        <v>301.29000000000002</v>
      </c>
      <c r="I99">
        <v>19.149999999999999</v>
      </c>
      <c r="J99">
        <v>116960.6</v>
      </c>
    </row>
    <row r="100" spans="1:10" x14ac:dyDescent="0.3">
      <c r="A100">
        <v>2015</v>
      </c>
      <c r="B100" t="s">
        <v>48</v>
      </c>
      <c r="C100" t="s">
        <v>168</v>
      </c>
      <c r="D100" t="s">
        <v>1003</v>
      </c>
      <c r="E100" t="s">
        <v>1004</v>
      </c>
      <c r="F100" t="s">
        <v>1005</v>
      </c>
      <c r="G100" t="s">
        <v>1161</v>
      </c>
      <c r="H100">
        <v>243.59</v>
      </c>
      <c r="I100">
        <v>13.129999999999999</v>
      </c>
      <c r="J100">
        <v>93702.8</v>
      </c>
    </row>
    <row r="101" spans="1:10" x14ac:dyDescent="0.3">
      <c r="A101">
        <v>2015</v>
      </c>
      <c r="B101" t="s">
        <v>48</v>
      </c>
      <c r="C101" t="s">
        <v>56</v>
      </c>
      <c r="D101" t="s">
        <v>1006</v>
      </c>
      <c r="E101" t="s">
        <v>1007</v>
      </c>
      <c r="F101" t="s">
        <v>1008</v>
      </c>
      <c r="G101" t="s">
        <v>1161</v>
      </c>
      <c r="H101">
        <v>316.20999999999998</v>
      </c>
      <c r="I101">
        <v>17.900000000000002</v>
      </c>
      <c r="J101">
        <v>121950.14999999998</v>
      </c>
    </row>
    <row r="102" spans="1:10" x14ac:dyDescent="0.3">
      <c r="A102">
        <v>2015</v>
      </c>
      <c r="B102" t="s">
        <v>48</v>
      </c>
      <c r="C102" t="s">
        <v>311</v>
      </c>
      <c r="D102" t="s">
        <v>1009</v>
      </c>
      <c r="E102" t="s">
        <v>1010</v>
      </c>
      <c r="F102" t="s">
        <v>1011</v>
      </c>
      <c r="G102" t="s">
        <v>1161</v>
      </c>
      <c r="H102">
        <v>272.82</v>
      </c>
      <c r="I102">
        <v>16.27</v>
      </c>
      <c r="J102">
        <v>105517.84999999999</v>
      </c>
    </row>
    <row r="103" spans="1:10" x14ac:dyDescent="0.3">
      <c r="A103">
        <v>2015</v>
      </c>
      <c r="B103" t="s">
        <v>48</v>
      </c>
      <c r="C103" t="s">
        <v>303</v>
      </c>
      <c r="D103" t="s">
        <v>1012</v>
      </c>
      <c r="E103" t="s">
        <v>1013</v>
      </c>
      <c r="F103" t="s">
        <v>1014</v>
      </c>
      <c r="G103" t="s">
        <v>1161</v>
      </c>
      <c r="H103">
        <v>345.44</v>
      </c>
      <c r="I103">
        <v>21.04</v>
      </c>
      <c r="J103">
        <v>133765.20000000001</v>
      </c>
    </row>
    <row r="104" spans="1:10" x14ac:dyDescent="0.3">
      <c r="A104">
        <v>2015</v>
      </c>
      <c r="B104" t="s">
        <v>48</v>
      </c>
      <c r="C104" t="s">
        <v>308</v>
      </c>
      <c r="D104" t="s">
        <v>1027</v>
      </c>
      <c r="E104" t="s">
        <v>1028</v>
      </c>
      <c r="F104" t="s">
        <v>1029</v>
      </c>
      <c r="G104" t="s">
        <v>1161</v>
      </c>
      <c r="H104">
        <v>155.97</v>
      </c>
      <c r="I104">
        <v>13.84</v>
      </c>
      <c r="J104">
        <v>61980.65</v>
      </c>
    </row>
    <row r="105" spans="1:10" x14ac:dyDescent="0.3">
      <c r="A105">
        <v>2015</v>
      </c>
      <c r="B105" t="s">
        <v>48</v>
      </c>
      <c r="C105" t="s">
        <v>330</v>
      </c>
      <c r="D105" t="s">
        <v>1030</v>
      </c>
      <c r="E105" t="s">
        <v>1031</v>
      </c>
      <c r="F105" t="s">
        <v>1032</v>
      </c>
      <c r="G105" t="s">
        <v>1161</v>
      </c>
      <c r="H105">
        <v>205.36</v>
      </c>
      <c r="I105">
        <v>17.95</v>
      </c>
      <c r="J105">
        <v>81508.149999999994</v>
      </c>
    </row>
    <row r="106" spans="1:10" x14ac:dyDescent="0.3">
      <c r="A106">
        <v>2015</v>
      </c>
      <c r="B106" t="s">
        <v>48</v>
      </c>
      <c r="C106" t="s">
        <v>348</v>
      </c>
      <c r="D106" t="s">
        <v>1033</v>
      </c>
      <c r="E106" t="s">
        <v>1034</v>
      </c>
      <c r="F106" t="s">
        <v>1035</v>
      </c>
      <c r="G106" t="s">
        <v>1161</v>
      </c>
      <c r="H106">
        <v>185.2</v>
      </c>
      <c r="I106">
        <v>15.040000000000001</v>
      </c>
      <c r="J106">
        <v>73087.599999999991</v>
      </c>
    </row>
    <row r="107" spans="1:10" x14ac:dyDescent="0.3">
      <c r="A107">
        <v>2015</v>
      </c>
      <c r="B107" t="s">
        <v>48</v>
      </c>
      <c r="C107" t="s">
        <v>71</v>
      </c>
      <c r="D107" t="s">
        <v>1036</v>
      </c>
      <c r="E107" t="s">
        <v>1037</v>
      </c>
      <c r="F107" t="s">
        <v>1038</v>
      </c>
      <c r="G107" t="s">
        <v>1161</v>
      </c>
      <c r="H107">
        <v>234.59</v>
      </c>
      <c r="I107">
        <v>19.149999999999999</v>
      </c>
      <c r="J107">
        <v>92615.1</v>
      </c>
    </row>
    <row r="108" spans="1:10" x14ac:dyDescent="0.3">
      <c r="A108">
        <v>2015</v>
      </c>
      <c r="B108" t="s">
        <v>48</v>
      </c>
      <c r="C108" t="s">
        <v>117</v>
      </c>
      <c r="D108" t="s">
        <v>1051</v>
      </c>
      <c r="E108" t="s">
        <v>1052</v>
      </c>
      <c r="F108" t="s">
        <v>1053</v>
      </c>
      <c r="G108" t="s">
        <v>1161</v>
      </c>
      <c r="H108">
        <v>70.88</v>
      </c>
      <c r="I108">
        <v>13.84</v>
      </c>
      <c r="J108">
        <v>30922.799999999999</v>
      </c>
    </row>
    <row r="109" spans="1:10" x14ac:dyDescent="0.3">
      <c r="A109">
        <v>2015</v>
      </c>
      <c r="B109" t="s">
        <v>48</v>
      </c>
      <c r="C109" t="s">
        <v>293</v>
      </c>
      <c r="D109" t="s">
        <v>1054</v>
      </c>
      <c r="E109" t="s">
        <v>1055</v>
      </c>
      <c r="F109" t="s">
        <v>1056</v>
      </c>
      <c r="G109" t="s">
        <v>1161</v>
      </c>
      <c r="H109">
        <v>112.04</v>
      </c>
      <c r="I109">
        <v>17.95</v>
      </c>
      <c r="J109">
        <v>47446.350000000006</v>
      </c>
    </row>
    <row r="110" spans="1:10" x14ac:dyDescent="0.3">
      <c r="A110">
        <v>2015</v>
      </c>
      <c r="B110" t="s">
        <v>48</v>
      </c>
      <c r="C110" t="s">
        <v>96</v>
      </c>
      <c r="D110" t="s">
        <v>1063</v>
      </c>
      <c r="E110" t="s">
        <v>1064</v>
      </c>
      <c r="F110" t="s">
        <v>1065</v>
      </c>
      <c r="G110" t="s">
        <v>1161</v>
      </c>
      <c r="H110">
        <v>105.68</v>
      </c>
      <c r="I110">
        <v>13.84</v>
      </c>
      <c r="J110">
        <v>43624.800000000003</v>
      </c>
    </row>
    <row r="111" spans="1:10" x14ac:dyDescent="0.3">
      <c r="A111">
        <v>2015</v>
      </c>
      <c r="B111" t="s">
        <v>48</v>
      </c>
      <c r="C111" t="s">
        <v>87</v>
      </c>
      <c r="D111" t="s">
        <v>1066</v>
      </c>
      <c r="E111" t="s">
        <v>1067</v>
      </c>
      <c r="F111" t="s">
        <v>1068</v>
      </c>
      <c r="G111" t="s">
        <v>1161</v>
      </c>
      <c r="H111">
        <v>139.99</v>
      </c>
      <c r="I111">
        <v>17.95</v>
      </c>
      <c r="J111">
        <v>57648.1</v>
      </c>
    </row>
    <row r="112" spans="1:10" x14ac:dyDescent="0.3">
      <c r="A112">
        <v>2015</v>
      </c>
      <c r="B112" t="s">
        <v>48</v>
      </c>
      <c r="C112" t="s">
        <v>361</v>
      </c>
      <c r="D112" t="s">
        <v>1075</v>
      </c>
      <c r="E112" t="s">
        <v>1076</v>
      </c>
      <c r="F112" t="s">
        <v>1077</v>
      </c>
      <c r="G112" t="s">
        <v>1161</v>
      </c>
      <c r="H112">
        <v>129.51</v>
      </c>
      <c r="I112">
        <v>13.84</v>
      </c>
      <c r="J112">
        <v>52322.75</v>
      </c>
    </row>
    <row r="113" spans="1:10" x14ac:dyDescent="0.3">
      <c r="A113">
        <v>2015</v>
      </c>
      <c r="B113" t="s">
        <v>48</v>
      </c>
      <c r="C113" t="s">
        <v>172</v>
      </c>
      <c r="D113" t="s">
        <v>1078</v>
      </c>
      <c r="E113" t="s">
        <v>1079</v>
      </c>
      <c r="F113" t="s">
        <v>1080</v>
      </c>
      <c r="G113" t="s">
        <v>1161</v>
      </c>
      <c r="H113">
        <v>163.82</v>
      </c>
      <c r="I113">
        <v>17.95</v>
      </c>
      <c r="J113">
        <v>66346.049999999988</v>
      </c>
    </row>
    <row r="114" spans="1:10" x14ac:dyDescent="0.3">
      <c r="A114">
        <v>2015</v>
      </c>
      <c r="B114" t="s">
        <v>48</v>
      </c>
      <c r="C114" t="s">
        <v>379</v>
      </c>
      <c r="D114" t="s">
        <v>1081</v>
      </c>
      <c r="E114" t="s">
        <v>1082</v>
      </c>
      <c r="F114" t="s">
        <v>1083</v>
      </c>
      <c r="G114" t="s">
        <v>1161</v>
      </c>
      <c r="H114">
        <v>149.75</v>
      </c>
      <c r="I114">
        <v>15.040000000000001</v>
      </c>
      <c r="J114">
        <v>60148.35</v>
      </c>
    </row>
    <row r="115" spans="1:10" x14ac:dyDescent="0.3">
      <c r="A115">
        <v>2015</v>
      </c>
      <c r="B115" t="s">
        <v>48</v>
      </c>
      <c r="C115" t="s">
        <v>77</v>
      </c>
      <c r="D115" t="s">
        <v>1084</v>
      </c>
      <c r="E115" t="s">
        <v>1085</v>
      </c>
      <c r="F115" t="s">
        <v>1086</v>
      </c>
      <c r="G115" t="s">
        <v>1161</v>
      </c>
      <c r="H115">
        <v>184.07</v>
      </c>
      <c r="I115">
        <v>19.149999999999999</v>
      </c>
      <c r="J115">
        <v>74175.3</v>
      </c>
    </row>
    <row r="116" spans="1:10" x14ac:dyDescent="0.3">
      <c r="A116">
        <v>2015</v>
      </c>
      <c r="B116" t="s">
        <v>48</v>
      </c>
      <c r="C116" t="s">
        <v>232</v>
      </c>
      <c r="D116" t="s">
        <v>1099</v>
      </c>
      <c r="E116" t="s">
        <v>1100</v>
      </c>
      <c r="F116" t="s">
        <v>1101</v>
      </c>
      <c r="G116" t="s">
        <v>1161</v>
      </c>
      <c r="H116">
        <v>164.61</v>
      </c>
      <c r="I116">
        <v>14.049999999999999</v>
      </c>
      <c r="J116">
        <v>65210.900000000009</v>
      </c>
    </row>
    <row r="117" spans="1:10" x14ac:dyDescent="0.3">
      <c r="A117">
        <v>2015</v>
      </c>
      <c r="B117" t="s">
        <v>48</v>
      </c>
      <c r="C117" t="s">
        <v>218</v>
      </c>
      <c r="D117" t="s">
        <v>1102</v>
      </c>
      <c r="E117" t="s">
        <v>1103</v>
      </c>
      <c r="F117" t="s">
        <v>1104</v>
      </c>
      <c r="G117" t="s">
        <v>1161</v>
      </c>
      <c r="H117">
        <v>210.93</v>
      </c>
      <c r="I117">
        <v>18.82</v>
      </c>
      <c r="J117">
        <v>83858.75</v>
      </c>
    </row>
    <row r="118" spans="1:10" x14ac:dyDescent="0.3">
      <c r="A118">
        <v>2015</v>
      </c>
      <c r="B118" t="s">
        <v>48</v>
      </c>
      <c r="C118" t="s">
        <v>261</v>
      </c>
      <c r="D118" t="s">
        <v>1105</v>
      </c>
      <c r="E118" t="s">
        <v>1106</v>
      </c>
      <c r="F118" t="s">
        <v>1107</v>
      </c>
      <c r="G118" t="s">
        <v>1161</v>
      </c>
      <c r="H118">
        <v>188.58</v>
      </c>
      <c r="I118">
        <v>17.18</v>
      </c>
      <c r="J118">
        <v>75102.400000000009</v>
      </c>
    </row>
    <row r="119" spans="1:10" x14ac:dyDescent="0.3">
      <c r="A119">
        <v>2015</v>
      </c>
      <c r="B119" t="s">
        <v>48</v>
      </c>
      <c r="C119" t="s">
        <v>208</v>
      </c>
      <c r="D119" t="s">
        <v>1108</v>
      </c>
      <c r="E119" t="s">
        <v>1109</v>
      </c>
      <c r="F119" t="s">
        <v>1110</v>
      </c>
      <c r="G119" t="s">
        <v>1161</v>
      </c>
      <c r="H119">
        <v>234.87</v>
      </c>
      <c r="I119">
        <v>21.96</v>
      </c>
      <c r="J119">
        <v>93742.95</v>
      </c>
    </row>
    <row r="120" spans="1:10" x14ac:dyDescent="0.3">
      <c r="A120">
        <v>2015</v>
      </c>
      <c r="B120" t="s">
        <v>48</v>
      </c>
      <c r="C120" t="s">
        <v>215</v>
      </c>
      <c r="D120" t="s">
        <v>1123</v>
      </c>
      <c r="E120" t="s">
        <v>1124</v>
      </c>
      <c r="F120" t="s">
        <v>1125</v>
      </c>
      <c r="G120" t="s">
        <v>1161</v>
      </c>
      <c r="H120">
        <v>181.11</v>
      </c>
      <c r="I120">
        <v>16.510000000000002</v>
      </c>
      <c r="J120">
        <v>72131.3</v>
      </c>
    </row>
    <row r="121" spans="1:10" x14ac:dyDescent="0.3">
      <c r="A121">
        <v>2015</v>
      </c>
      <c r="B121" t="s">
        <v>48</v>
      </c>
      <c r="C121" t="s">
        <v>189</v>
      </c>
      <c r="D121" t="s">
        <v>1126</v>
      </c>
      <c r="E121" t="s">
        <v>1127</v>
      </c>
      <c r="F121" t="s">
        <v>1128</v>
      </c>
      <c r="G121" t="s">
        <v>1161</v>
      </c>
      <c r="H121">
        <v>227.41</v>
      </c>
      <c r="I121">
        <v>22.17</v>
      </c>
      <c r="J121">
        <v>91096.7</v>
      </c>
    </row>
    <row r="122" spans="1:10" x14ac:dyDescent="0.3">
      <c r="A122">
        <v>2015</v>
      </c>
      <c r="B122" t="s">
        <v>48</v>
      </c>
      <c r="C122" t="s">
        <v>85</v>
      </c>
      <c r="D122" t="s">
        <v>1129</v>
      </c>
      <c r="E122" t="s">
        <v>1130</v>
      </c>
      <c r="F122" t="s">
        <v>1131</v>
      </c>
      <c r="G122" t="s">
        <v>1161</v>
      </c>
      <c r="H122">
        <v>209.25</v>
      </c>
      <c r="I122">
        <v>19.64</v>
      </c>
      <c r="J122">
        <v>83544.849999999991</v>
      </c>
    </row>
    <row r="123" spans="1:10" x14ac:dyDescent="0.3">
      <c r="A123">
        <v>2015</v>
      </c>
      <c r="B123" t="s">
        <v>48</v>
      </c>
      <c r="C123" t="s">
        <v>239</v>
      </c>
      <c r="D123" t="s">
        <v>1132</v>
      </c>
      <c r="E123" t="s">
        <v>1133</v>
      </c>
      <c r="F123" t="s">
        <v>1134</v>
      </c>
      <c r="G123" t="s">
        <v>1161</v>
      </c>
      <c r="H123">
        <v>255.53</v>
      </c>
      <c r="I123">
        <v>25.310000000000002</v>
      </c>
      <c r="J123">
        <v>102506.6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O231"/>
  <sheetViews>
    <sheetView workbookViewId="0">
      <selection activeCell="D4" sqref="D4"/>
    </sheetView>
  </sheetViews>
  <sheetFormatPr defaultRowHeight="14.4" x14ac:dyDescent="0.3"/>
  <cols>
    <col min="1" max="1" width="8.5546875" bestFit="1" customWidth="1"/>
    <col min="2" max="2" width="11.6640625" bestFit="1" customWidth="1"/>
    <col min="3" max="3" width="13.44140625" bestFit="1" customWidth="1"/>
    <col min="4" max="4" width="31.6640625" bestFit="1" customWidth="1"/>
    <col min="5" max="5" width="26.6640625" bestFit="1" customWidth="1"/>
    <col min="6" max="6" width="48.33203125" bestFit="1" customWidth="1"/>
    <col min="7" max="7" width="8.44140625" bestFit="1" customWidth="1"/>
    <col min="8" max="8" width="15.33203125" bestFit="1" customWidth="1"/>
    <col min="9" max="9" width="8.6640625" bestFit="1" customWidth="1"/>
    <col min="10" max="10" width="7.6640625" bestFit="1" customWidth="1"/>
    <col min="11" max="11" width="7.6640625" customWidth="1"/>
    <col min="12" max="13" width="9.33203125" style="39"/>
  </cols>
  <sheetData>
    <row r="1" spans="1:14" ht="15" x14ac:dyDescent="0.25">
      <c r="A1" t="s">
        <v>2</v>
      </c>
      <c r="B1" t="s">
        <v>1</v>
      </c>
      <c r="C1" t="s">
        <v>4</v>
      </c>
      <c r="D1" t="s">
        <v>0</v>
      </c>
      <c r="E1" t="s">
        <v>0</v>
      </c>
      <c r="F1" t="s">
        <v>699</v>
      </c>
      <c r="G1" t="s">
        <v>1147</v>
      </c>
      <c r="H1" t="s">
        <v>3</v>
      </c>
      <c r="I1" t="s">
        <v>577</v>
      </c>
      <c r="J1" t="s">
        <v>578</v>
      </c>
      <c r="K1" t="s">
        <v>1165</v>
      </c>
      <c r="L1" s="39" t="s">
        <v>1166</v>
      </c>
      <c r="M1" s="39" t="s">
        <v>1166</v>
      </c>
      <c r="N1" t="s">
        <v>577</v>
      </c>
    </row>
    <row r="2" spans="1:14" ht="15" x14ac:dyDescent="0.25">
      <c r="A2">
        <v>2015</v>
      </c>
      <c r="B2" t="s">
        <v>48</v>
      </c>
      <c r="C2" t="s">
        <v>572</v>
      </c>
      <c r="D2" t="s">
        <v>571</v>
      </c>
      <c r="E2" t="s">
        <v>593</v>
      </c>
      <c r="F2" t="s">
        <v>716</v>
      </c>
      <c r="G2" t="s">
        <v>1161</v>
      </c>
      <c r="H2">
        <v>156.97</v>
      </c>
      <c r="I2">
        <v>15.25</v>
      </c>
      <c r="J2" s="1">
        <v>62860.3</v>
      </c>
      <c r="K2" s="1"/>
      <c r="L2" s="40">
        <f>J3-J2</f>
        <v>-6960.5500000000029</v>
      </c>
      <c r="M2" s="40">
        <v>26513.599999999991</v>
      </c>
      <c r="N2">
        <f>I3-I2</f>
        <v>-15.25</v>
      </c>
    </row>
    <row r="3" spans="1:14" ht="15" x14ac:dyDescent="0.25">
      <c r="A3">
        <v>2015</v>
      </c>
      <c r="B3" t="s">
        <v>47</v>
      </c>
      <c r="C3" t="s">
        <v>574</v>
      </c>
      <c r="D3" t="s">
        <v>573</v>
      </c>
      <c r="E3" t="s">
        <v>659</v>
      </c>
      <c r="F3" t="s">
        <v>718</v>
      </c>
      <c r="G3" t="s">
        <v>47</v>
      </c>
      <c r="H3">
        <v>153.15</v>
      </c>
      <c r="J3" s="1">
        <v>55899.75</v>
      </c>
      <c r="K3" s="1"/>
      <c r="L3" s="40">
        <f>J4-J3</f>
        <v>7431.3999999999942</v>
      </c>
      <c r="M3" s="40">
        <v>21407.25</v>
      </c>
    </row>
    <row r="4" spans="1:14" ht="15" x14ac:dyDescent="0.25">
      <c r="A4">
        <v>2015</v>
      </c>
      <c r="B4" t="s">
        <v>48</v>
      </c>
      <c r="C4" t="s">
        <v>180</v>
      </c>
      <c r="D4" t="s">
        <v>906</v>
      </c>
      <c r="E4" t="s">
        <v>907</v>
      </c>
      <c r="F4" t="s">
        <v>908</v>
      </c>
      <c r="G4" t="s">
        <v>1161</v>
      </c>
      <c r="H4">
        <v>157.16999999999999</v>
      </c>
      <c r="I4">
        <v>16.34</v>
      </c>
      <c r="J4" s="1">
        <v>63331.149999999994</v>
      </c>
      <c r="K4" s="1">
        <f>J5-J4</f>
        <v>6741.5500000000029</v>
      </c>
      <c r="L4" s="40">
        <f>J6-J4</f>
        <v>-6033.4499999999898</v>
      </c>
      <c r="M4" s="40">
        <v>16362.950000000012</v>
      </c>
    </row>
    <row r="5" spans="1:14" ht="15" x14ac:dyDescent="0.25">
      <c r="A5">
        <v>2015</v>
      </c>
      <c r="B5" t="s">
        <v>48</v>
      </c>
      <c r="C5" t="s">
        <v>229</v>
      </c>
      <c r="D5" t="s">
        <v>931</v>
      </c>
      <c r="E5" t="s">
        <v>932</v>
      </c>
      <c r="F5" t="s">
        <v>933</v>
      </c>
      <c r="G5" t="s">
        <v>1161</v>
      </c>
      <c r="H5">
        <v>175.64</v>
      </c>
      <c r="I5">
        <v>16.34</v>
      </c>
      <c r="J5" s="1">
        <v>70072.7</v>
      </c>
      <c r="K5" s="1">
        <f>J6-J5</f>
        <v>-12774.999999999993</v>
      </c>
      <c r="L5" s="40">
        <f>J7-J5</f>
        <v>16676.849999999991</v>
      </c>
      <c r="M5" s="40">
        <v>15103.699999999997</v>
      </c>
    </row>
    <row r="6" spans="1:14" ht="15" x14ac:dyDescent="0.25">
      <c r="A6">
        <v>2015</v>
      </c>
      <c r="B6" t="s">
        <v>48</v>
      </c>
      <c r="C6" t="s">
        <v>355</v>
      </c>
      <c r="D6" t="s">
        <v>881</v>
      </c>
      <c r="E6" t="s">
        <v>882</v>
      </c>
      <c r="F6" t="s">
        <v>883</v>
      </c>
      <c r="G6" t="s">
        <v>1161</v>
      </c>
      <c r="H6">
        <v>143.06</v>
      </c>
      <c r="I6">
        <v>13.920000000000002</v>
      </c>
      <c r="J6" s="1">
        <v>57297.700000000004</v>
      </c>
      <c r="K6" s="1">
        <f>J7-J6</f>
        <v>29451.849999999984</v>
      </c>
      <c r="L6" s="40">
        <f>J8-J6</f>
        <v>36967.19999999999</v>
      </c>
      <c r="M6" s="40">
        <v>14457.650000000001</v>
      </c>
    </row>
    <row r="7" spans="1:14" ht="15" x14ac:dyDescent="0.25">
      <c r="A7">
        <v>2015</v>
      </c>
      <c r="B7" t="s">
        <v>48</v>
      </c>
      <c r="C7" t="s">
        <v>98</v>
      </c>
      <c r="D7" t="s">
        <v>97</v>
      </c>
      <c r="E7" t="s">
        <v>591</v>
      </c>
      <c r="F7" t="s">
        <v>712</v>
      </c>
      <c r="G7" t="s">
        <v>1161</v>
      </c>
      <c r="H7">
        <v>221.17</v>
      </c>
      <c r="I7">
        <v>16.5</v>
      </c>
      <c r="J7" s="1">
        <v>86749.549999999988</v>
      </c>
      <c r="K7" s="1"/>
      <c r="L7" s="40">
        <f>J8-J7</f>
        <v>7515.3500000000058</v>
      </c>
      <c r="M7" s="40">
        <v>13446.600000000006</v>
      </c>
      <c r="N7">
        <f>I8-I7</f>
        <v>-0.24000000000000199</v>
      </c>
    </row>
    <row r="8" spans="1:14" ht="15" x14ac:dyDescent="0.25">
      <c r="A8">
        <v>2015</v>
      </c>
      <c r="B8" t="s">
        <v>48</v>
      </c>
      <c r="C8" t="s">
        <v>384</v>
      </c>
      <c r="D8" t="s">
        <v>383</v>
      </c>
      <c r="E8" t="s">
        <v>595</v>
      </c>
      <c r="F8" t="s">
        <v>720</v>
      </c>
      <c r="G8" t="s">
        <v>1161</v>
      </c>
      <c r="H8">
        <v>242</v>
      </c>
      <c r="I8">
        <v>16.259999999999998</v>
      </c>
      <c r="J8" s="1">
        <v>94264.9</v>
      </c>
      <c r="K8" s="1"/>
      <c r="L8" s="40">
        <f>J9-J8</f>
        <v>-19312.149999999994</v>
      </c>
      <c r="M8" s="40">
        <v>13351.700000000012</v>
      </c>
      <c r="N8">
        <f>I9-I8</f>
        <v>-0.43999999999999773</v>
      </c>
    </row>
    <row r="9" spans="1:14" ht="15" x14ac:dyDescent="0.25">
      <c r="A9">
        <v>2015</v>
      </c>
      <c r="B9" t="s">
        <v>48</v>
      </c>
      <c r="C9" t="s">
        <v>247</v>
      </c>
      <c r="D9" t="s">
        <v>246</v>
      </c>
      <c r="E9" t="s">
        <v>589</v>
      </c>
      <c r="F9" t="s">
        <v>708</v>
      </c>
      <c r="G9" t="s">
        <v>1161</v>
      </c>
      <c r="H9">
        <v>189.53</v>
      </c>
      <c r="I9">
        <v>15.82</v>
      </c>
      <c r="J9" s="1">
        <v>74952.75</v>
      </c>
      <c r="K9" s="1"/>
      <c r="L9" s="40">
        <f>J10-J9</f>
        <v>-19929</v>
      </c>
      <c r="M9" s="40">
        <v>13344.399999999994</v>
      </c>
      <c r="N9">
        <f>I10-I9</f>
        <v>-15.82</v>
      </c>
    </row>
    <row r="10" spans="1:14" ht="15" x14ac:dyDescent="0.25">
      <c r="A10">
        <v>2015</v>
      </c>
      <c r="B10" t="s">
        <v>47</v>
      </c>
      <c r="C10" t="s">
        <v>228</v>
      </c>
      <c r="D10" t="s">
        <v>918</v>
      </c>
      <c r="E10" t="s">
        <v>919</v>
      </c>
      <c r="F10" t="s">
        <v>920</v>
      </c>
      <c r="G10" t="s">
        <v>47</v>
      </c>
      <c r="H10">
        <v>150.75</v>
      </c>
      <c r="J10" s="1">
        <v>55023.75</v>
      </c>
      <c r="K10" s="1">
        <f t="shared" ref="K10:K18" si="0">J11-J10</f>
        <v>38679.050000000003</v>
      </c>
      <c r="L10" s="40">
        <f t="shared" ref="L10:L18" si="1">J12-J10</f>
        <v>-6427.6500000000015</v>
      </c>
      <c r="M10" s="40">
        <v>12194.649999999994</v>
      </c>
    </row>
    <row r="11" spans="1:14" ht="15" x14ac:dyDescent="0.25">
      <c r="A11">
        <v>2015</v>
      </c>
      <c r="B11" t="s">
        <v>48</v>
      </c>
      <c r="C11" t="s">
        <v>168</v>
      </c>
      <c r="D11" t="s">
        <v>1003</v>
      </c>
      <c r="E11" t="s">
        <v>1004</v>
      </c>
      <c r="F11" t="s">
        <v>1005</v>
      </c>
      <c r="G11" t="s">
        <v>1161</v>
      </c>
      <c r="H11">
        <v>243.59</v>
      </c>
      <c r="I11">
        <v>13.129999999999999</v>
      </c>
      <c r="J11" s="1">
        <v>93702.8</v>
      </c>
      <c r="K11" s="1">
        <f t="shared" si="0"/>
        <v>-45106.700000000004</v>
      </c>
      <c r="L11" s="40">
        <f t="shared" si="1"/>
        <v>-28557.600000000006</v>
      </c>
      <c r="M11" s="40">
        <v>11815.049999999988</v>
      </c>
    </row>
    <row r="12" spans="1:14" ht="15" x14ac:dyDescent="0.25">
      <c r="A12">
        <v>2015</v>
      </c>
      <c r="B12" t="s">
        <v>48</v>
      </c>
      <c r="C12" t="s">
        <v>204</v>
      </c>
      <c r="D12" t="s">
        <v>856</v>
      </c>
      <c r="E12" t="s">
        <v>857</v>
      </c>
      <c r="F12" t="s">
        <v>858</v>
      </c>
      <c r="G12" t="s">
        <v>1161</v>
      </c>
      <c r="H12">
        <v>120.74</v>
      </c>
      <c r="I12">
        <v>12.4</v>
      </c>
      <c r="J12" s="1">
        <v>48596.1</v>
      </c>
      <c r="K12" s="1">
        <f t="shared" si="0"/>
        <v>16549.099999999999</v>
      </c>
      <c r="L12" s="40">
        <f t="shared" si="1"/>
        <v>-6044.3999999999942</v>
      </c>
      <c r="M12" s="40">
        <v>11756.650000000001</v>
      </c>
    </row>
    <row r="13" spans="1:14" ht="15" x14ac:dyDescent="0.25">
      <c r="A13">
        <v>2015</v>
      </c>
      <c r="B13" t="s">
        <v>48</v>
      </c>
      <c r="C13" t="s">
        <v>81</v>
      </c>
      <c r="D13" t="s">
        <v>80</v>
      </c>
      <c r="E13" t="s">
        <v>631</v>
      </c>
      <c r="F13" t="s">
        <v>791</v>
      </c>
      <c r="G13" t="s">
        <v>1161</v>
      </c>
      <c r="H13">
        <v>165.45</v>
      </c>
      <c r="I13">
        <v>13.030000000000001</v>
      </c>
      <c r="J13" s="1">
        <v>65145.2</v>
      </c>
      <c r="K13" s="1">
        <f t="shared" si="0"/>
        <v>-22593.499999999993</v>
      </c>
      <c r="L13" s="40">
        <f t="shared" si="1"/>
        <v>6986.1000000000058</v>
      </c>
      <c r="M13" s="40">
        <v>11577.800000000003</v>
      </c>
    </row>
    <row r="14" spans="1:14" ht="15" x14ac:dyDescent="0.25">
      <c r="A14">
        <v>2015</v>
      </c>
      <c r="B14" t="s">
        <v>48</v>
      </c>
      <c r="C14" t="s">
        <v>76</v>
      </c>
      <c r="D14" t="s">
        <v>832</v>
      </c>
      <c r="E14" t="s">
        <v>833</v>
      </c>
      <c r="F14" t="s">
        <v>834</v>
      </c>
      <c r="G14" t="s">
        <v>1161</v>
      </c>
      <c r="H14">
        <v>104.18</v>
      </c>
      <c r="I14">
        <v>12.4</v>
      </c>
      <c r="J14" s="1">
        <v>42551.700000000004</v>
      </c>
      <c r="K14" s="1">
        <f t="shared" si="0"/>
        <v>29579.599999999999</v>
      </c>
      <c r="L14" s="40">
        <f t="shared" si="1"/>
        <v>19428.949999999997</v>
      </c>
      <c r="M14" s="40">
        <v>11563.19999999999</v>
      </c>
    </row>
    <row r="15" spans="1:14" ht="15" x14ac:dyDescent="0.25">
      <c r="A15">
        <v>2015</v>
      </c>
      <c r="B15" t="s">
        <v>48</v>
      </c>
      <c r="C15" t="s">
        <v>215</v>
      </c>
      <c r="D15" t="s">
        <v>1123</v>
      </c>
      <c r="E15" t="s">
        <v>1124</v>
      </c>
      <c r="F15" t="s">
        <v>1125</v>
      </c>
      <c r="G15" t="s">
        <v>1161</v>
      </c>
      <c r="H15">
        <v>181.11</v>
      </c>
      <c r="I15">
        <v>16.510000000000002</v>
      </c>
      <c r="J15" s="1">
        <v>72131.3</v>
      </c>
      <c r="K15" s="1">
        <f t="shared" si="0"/>
        <v>-10150.650000000001</v>
      </c>
      <c r="L15" s="40">
        <f t="shared" si="1"/>
        <v>9117.6999999999971</v>
      </c>
      <c r="M15" s="40">
        <v>11413.549999999988</v>
      </c>
    </row>
    <row r="16" spans="1:14" ht="15" x14ac:dyDescent="0.25">
      <c r="A16">
        <v>2015</v>
      </c>
      <c r="B16" t="s">
        <v>48</v>
      </c>
      <c r="C16" t="s">
        <v>308</v>
      </c>
      <c r="D16" t="s">
        <v>1027</v>
      </c>
      <c r="E16" t="s">
        <v>1028</v>
      </c>
      <c r="F16" t="s">
        <v>1029</v>
      </c>
      <c r="G16" t="s">
        <v>1161</v>
      </c>
      <c r="H16">
        <v>155.97</v>
      </c>
      <c r="I16">
        <v>13.84</v>
      </c>
      <c r="J16" s="1">
        <v>61980.65</v>
      </c>
      <c r="K16" s="1">
        <f t="shared" si="0"/>
        <v>19268.349999999999</v>
      </c>
      <c r="L16" s="40">
        <f t="shared" si="1"/>
        <v>-532.90000000000146</v>
      </c>
      <c r="M16" s="40">
        <v>11106.94999999999</v>
      </c>
    </row>
    <row r="17" spans="1:15" ht="15" x14ac:dyDescent="0.25">
      <c r="A17">
        <v>2015</v>
      </c>
      <c r="B17" t="s">
        <v>48</v>
      </c>
      <c r="C17" t="s">
        <v>86</v>
      </c>
      <c r="D17" t="s">
        <v>979</v>
      </c>
      <c r="E17" t="s">
        <v>980</v>
      </c>
      <c r="F17" t="s">
        <v>981</v>
      </c>
      <c r="G17" t="s">
        <v>1161</v>
      </c>
      <c r="H17">
        <v>208.76</v>
      </c>
      <c r="I17">
        <v>13.84</v>
      </c>
      <c r="J17" s="1">
        <v>81249</v>
      </c>
      <c r="K17" s="1">
        <f t="shared" si="0"/>
        <v>-19801.25</v>
      </c>
      <c r="L17" s="40">
        <f t="shared" si="1"/>
        <v>-16760.799999999996</v>
      </c>
      <c r="M17" s="40">
        <v>11096</v>
      </c>
    </row>
    <row r="18" spans="1:15" ht="15" x14ac:dyDescent="0.25">
      <c r="A18">
        <v>2015</v>
      </c>
      <c r="B18" t="s">
        <v>47</v>
      </c>
      <c r="C18" t="s">
        <v>162</v>
      </c>
      <c r="D18" t="s">
        <v>943</v>
      </c>
      <c r="E18" t="s">
        <v>944</v>
      </c>
      <c r="F18" t="s">
        <v>945</v>
      </c>
      <c r="G18" t="s">
        <v>47</v>
      </c>
      <c r="H18">
        <v>168.35</v>
      </c>
      <c r="J18" s="1">
        <v>61447.75</v>
      </c>
      <c r="K18" s="1">
        <f t="shared" si="0"/>
        <v>3040.4500000000044</v>
      </c>
      <c r="L18" s="40">
        <f t="shared" si="1"/>
        <v>24071.75</v>
      </c>
      <c r="M18" s="40">
        <v>10993.800000000003</v>
      </c>
    </row>
    <row r="19" spans="1:15" ht="15" x14ac:dyDescent="0.25">
      <c r="A19">
        <v>2015</v>
      </c>
      <c r="B19" t="s">
        <v>48</v>
      </c>
      <c r="C19" t="s">
        <v>327</v>
      </c>
      <c r="D19" t="s">
        <v>326</v>
      </c>
      <c r="E19" t="s">
        <v>587</v>
      </c>
      <c r="F19" t="s">
        <v>706</v>
      </c>
      <c r="G19" t="s">
        <v>1161</v>
      </c>
      <c r="H19">
        <v>161.33000000000001</v>
      </c>
      <c r="I19">
        <v>15.35</v>
      </c>
      <c r="J19" s="1">
        <v>64488.200000000004</v>
      </c>
      <c r="K19" s="1"/>
      <c r="L19" s="40">
        <f>J20-J19</f>
        <v>21031.299999999996</v>
      </c>
      <c r="M19" s="40">
        <v>10475.500000000007</v>
      </c>
      <c r="N19">
        <f>I20-I19</f>
        <v>-15.35</v>
      </c>
    </row>
    <row r="20" spans="1:15" ht="15" x14ac:dyDescent="0.25">
      <c r="A20">
        <v>2015</v>
      </c>
      <c r="B20" t="s">
        <v>47</v>
      </c>
      <c r="C20" t="s">
        <v>93</v>
      </c>
      <c r="D20" t="s">
        <v>92</v>
      </c>
      <c r="E20" t="s">
        <v>661</v>
      </c>
      <c r="F20" t="s">
        <v>722</v>
      </c>
      <c r="G20" t="s">
        <v>47</v>
      </c>
      <c r="H20">
        <v>234.3</v>
      </c>
      <c r="J20" s="1">
        <v>85519.5</v>
      </c>
      <c r="K20" s="1"/>
      <c r="L20" s="40">
        <f>J21-J20</f>
        <v>-7223.3500000000058</v>
      </c>
      <c r="M20" s="40">
        <v>10457.25</v>
      </c>
    </row>
    <row r="21" spans="1:15" ht="15" x14ac:dyDescent="0.25">
      <c r="A21">
        <v>2015</v>
      </c>
      <c r="B21" t="s">
        <v>47</v>
      </c>
      <c r="C21" t="s">
        <v>306</v>
      </c>
      <c r="D21" t="s">
        <v>305</v>
      </c>
      <c r="E21" t="s">
        <v>657</v>
      </c>
      <c r="F21" t="s">
        <v>714</v>
      </c>
      <c r="G21" t="s">
        <v>47</v>
      </c>
      <c r="H21">
        <v>214.51</v>
      </c>
      <c r="J21" s="1">
        <v>78296.149999999994</v>
      </c>
      <c r="K21" s="1"/>
      <c r="L21" s="40">
        <f>J22-J21</f>
        <v>-10906.199999999997</v>
      </c>
      <c r="M21" s="40">
        <v>10453.600000000006</v>
      </c>
    </row>
    <row r="22" spans="1:15" ht="15" x14ac:dyDescent="0.25">
      <c r="A22">
        <v>2015</v>
      </c>
      <c r="B22" t="s">
        <v>47</v>
      </c>
      <c r="C22" t="s">
        <v>386</v>
      </c>
      <c r="D22" t="s">
        <v>385</v>
      </c>
      <c r="E22" t="s">
        <v>655</v>
      </c>
      <c r="F22" t="s">
        <v>710</v>
      </c>
      <c r="G22" t="s">
        <v>47</v>
      </c>
      <c r="H22">
        <v>184.63</v>
      </c>
      <c r="J22" s="1">
        <v>67389.95</v>
      </c>
      <c r="K22" s="1"/>
      <c r="L22" s="40">
        <f>J23-J22</f>
        <v>-17268.150000000001</v>
      </c>
      <c r="M22" s="40">
        <v>10449.949999999997</v>
      </c>
    </row>
    <row r="23" spans="1:15" ht="15" x14ac:dyDescent="0.25">
      <c r="A23">
        <v>2015</v>
      </c>
      <c r="B23" t="s">
        <v>47</v>
      </c>
      <c r="C23" t="s">
        <v>143</v>
      </c>
      <c r="D23" t="s">
        <v>893</v>
      </c>
      <c r="E23" t="s">
        <v>894</v>
      </c>
      <c r="F23" t="s">
        <v>895</v>
      </c>
      <c r="G23" t="s">
        <v>47</v>
      </c>
      <c r="H23">
        <v>137.32</v>
      </c>
      <c r="J23" s="1">
        <v>50121.799999999996</v>
      </c>
      <c r="K23" s="1">
        <f>J24-J23</f>
        <v>14271.500000000007</v>
      </c>
      <c r="L23" s="40">
        <f>J25-J23</f>
        <v>15089.100000000013</v>
      </c>
      <c r="M23" s="40">
        <v>10384.250000000007</v>
      </c>
    </row>
    <row r="24" spans="1:15" ht="15" x14ac:dyDescent="0.25">
      <c r="A24">
        <v>2015</v>
      </c>
      <c r="B24" t="s">
        <v>48</v>
      </c>
      <c r="C24" t="s">
        <v>95</v>
      </c>
      <c r="D24" t="s">
        <v>94</v>
      </c>
      <c r="E24" t="s">
        <v>585</v>
      </c>
      <c r="F24" t="s">
        <v>704</v>
      </c>
      <c r="G24" t="s">
        <v>1161</v>
      </c>
      <c r="H24">
        <v>161.03</v>
      </c>
      <c r="I24">
        <v>15.39</v>
      </c>
      <c r="J24" s="1">
        <v>64393.3</v>
      </c>
      <c r="K24" s="1"/>
      <c r="L24" s="40">
        <f>J25-J24</f>
        <v>817.60000000000582</v>
      </c>
      <c r="M24" s="40">
        <v>10340.449999999997</v>
      </c>
      <c r="N24">
        <f>I25-I24</f>
        <v>-1.3400000000000016</v>
      </c>
    </row>
    <row r="25" spans="1:15" ht="15" x14ac:dyDescent="0.25">
      <c r="A25">
        <v>2015</v>
      </c>
      <c r="B25" t="s">
        <v>48</v>
      </c>
      <c r="C25" t="s">
        <v>232</v>
      </c>
      <c r="D25" t="s">
        <v>1099</v>
      </c>
      <c r="E25" t="s">
        <v>1100</v>
      </c>
      <c r="F25" t="s">
        <v>1101</v>
      </c>
      <c r="G25" t="s">
        <v>1161</v>
      </c>
      <c r="H25">
        <v>164.61</v>
      </c>
      <c r="I25">
        <v>14.049999999999999</v>
      </c>
      <c r="J25" s="1">
        <v>65210.900000000009</v>
      </c>
      <c r="K25" s="1">
        <f>J26-J25</f>
        <v>-14297.050000000003</v>
      </c>
      <c r="L25" s="40">
        <f>J27-J25</f>
        <v>-16790.000000000007</v>
      </c>
      <c r="M25" s="40">
        <v>9891.5</v>
      </c>
    </row>
    <row r="26" spans="1:15" ht="15" x14ac:dyDescent="0.25">
      <c r="A26">
        <v>2015</v>
      </c>
      <c r="B26" t="s">
        <v>48</v>
      </c>
      <c r="C26" t="s">
        <v>368</v>
      </c>
      <c r="D26" t="s">
        <v>367</v>
      </c>
      <c r="E26" t="s">
        <v>627</v>
      </c>
      <c r="F26" t="s">
        <v>782</v>
      </c>
      <c r="G26" t="s">
        <v>1161</v>
      </c>
      <c r="H26">
        <v>127.45</v>
      </c>
      <c r="I26">
        <v>12.040000000000001</v>
      </c>
      <c r="J26" s="1">
        <v>50913.850000000006</v>
      </c>
      <c r="K26" s="1">
        <f>J27-J26</f>
        <v>-2492.9500000000044</v>
      </c>
      <c r="L26" s="40">
        <f>J28-J26</f>
        <v>-7745.3000000000102</v>
      </c>
      <c r="M26" s="40">
        <v>9698.0499999999956</v>
      </c>
    </row>
    <row r="27" spans="1:15" x14ac:dyDescent="0.3">
      <c r="A27">
        <v>2015</v>
      </c>
      <c r="B27" t="s">
        <v>48</v>
      </c>
      <c r="C27" t="s">
        <v>128</v>
      </c>
      <c r="D27" t="s">
        <v>127</v>
      </c>
      <c r="E27" t="s">
        <v>583</v>
      </c>
      <c r="F27" t="s">
        <v>702</v>
      </c>
      <c r="G27" t="s">
        <v>1161</v>
      </c>
      <c r="H27">
        <v>117.33</v>
      </c>
      <c r="I27">
        <v>15.33</v>
      </c>
      <c r="J27" s="1">
        <v>48420.9</v>
      </c>
      <c r="K27" s="1"/>
      <c r="L27" s="40">
        <f>J28-J27</f>
        <v>-5252.3500000000058</v>
      </c>
      <c r="M27" s="40">
        <v>9650.5999999999985</v>
      </c>
      <c r="N27">
        <f>I28-I27</f>
        <v>-0.19999999999999929</v>
      </c>
    </row>
    <row r="28" spans="1:15" x14ac:dyDescent="0.3">
      <c r="A28">
        <v>2015</v>
      </c>
      <c r="B28" t="s">
        <v>48</v>
      </c>
      <c r="C28" t="s">
        <v>324</v>
      </c>
      <c r="D28" t="s">
        <v>323</v>
      </c>
      <c r="E28" t="s">
        <v>581</v>
      </c>
      <c r="F28" t="s">
        <v>700</v>
      </c>
      <c r="G28" t="s">
        <v>1161</v>
      </c>
      <c r="H28">
        <v>103.14</v>
      </c>
      <c r="I28">
        <v>15.13</v>
      </c>
      <c r="J28" s="1">
        <v>43168.549999999996</v>
      </c>
      <c r="K28" s="1"/>
      <c r="L28" s="40">
        <f>J29-J28</f>
        <v>10658.000000000007</v>
      </c>
      <c r="M28" s="40">
        <v>9639.6500000000087</v>
      </c>
      <c r="N28">
        <f>I29-I28</f>
        <v>-2.0999999999999996</v>
      </c>
      <c r="O28">
        <f>L28/52</f>
        <v>204.96153846153859</v>
      </c>
    </row>
    <row r="29" spans="1:15" x14ac:dyDescent="0.3">
      <c r="A29">
        <v>2015</v>
      </c>
      <c r="B29" t="s">
        <v>48</v>
      </c>
      <c r="C29" t="s">
        <v>280</v>
      </c>
      <c r="D29" t="s">
        <v>279</v>
      </c>
      <c r="E29" t="s">
        <v>623</v>
      </c>
      <c r="F29" t="s">
        <v>773</v>
      </c>
      <c r="G29" t="s">
        <v>1161</v>
      </c>
      <c r="H29">
        <v>134.44</v>
      </c>
      <c r="I29">
        <v>13.030000000000001</v>
      </c>
      <c r="J29" s="1">
        <v>53826.55</v>
      </c>
      <c r="K29" s="1">
        <f t="shared" ref="K29:K36" si="2">J30-J29</f>
        <v>10928.099999999999</v>
      </c>
      <c r="L29" s="40">
        <f t="shared" ref="L29:L36" si="3">J31-J29</f>
        <v>-11464.650000000001</v>
      </c>
      <c r="M29" s="40">
        <v>9391.4499999999898</v>
      </c>
    </row>
    <row r="30" spans="1:15" x14ac:dyDescent="0.3">
      <c r="A30">
        <v>2015</v>
      </c>
      <c r="B30" t="s">
        <v>48</v>
      </c>
      <c r="C30" t="s">
        <v>237</v>
      </c>
      <c r="D30" t="s">
        <v>236</v>
      </c>
      <c r="E30" t="s">
        <v>635</v>
      </c>
      <c r="F30" t="s">
        <v>800</v>
      </c>
      <c r="G30" t="s">
        <v>1161</v>
      </c>
      <c r="H30">
        <v>160.71</v>
      </c>
      <c r="I30">
        <v>16.7</v>
      </c>
      <c r="J30" s="1">
        <v>64754.65</v>
      </c>
      <c r="K30" s="1">
        <f t="shared" si="2"/>
        <v>-22392.75</v>
      </c>
      <c r="L30" s="40">
        <f t="shared" si="3"/>
        <v>-28145.15</v>
      </c>
      <c r="M30" s="40">
        <v>9384.1500000000015</v>
      </c>
    </row>
    <row r="31" spans="1:15" x14ac:dyDescent="0.3">
      <c r="A31">
        <v>2015</v>
      </c>
      <c r="B31" t="s">
        <v>47</v>
      </c>
      <c r="C31" t="s">
        <v>343</v>
      </c>
      <c r="D31" t="s">
        <v>868</v>
      </c>
      <c r="E31" t="s">
        <v>869</v>
      </c>
      <c r="F31" t="s">
        <v>870</v>
      </c>
      <c r="G31" t="s">
        <v>47</v>
      </c>
      <c r="H31">
        <v>116.06</v>
      </c>
      <c r="J31" s="1">
        <v>42361.9</v>
      </c>
      <c r="K31" s="1">
        <f t="shared" si="2"/>
        <v>-5752.4000000000015</v>
      </c>
      <c r="L31" s="40">
        <f t="shared" si="3"/>
        <v>30594.299999999996</v>
      </c>
      <c r="M31" s="40">
        <v>8697.9499999999971</v>
      </c>
    </row>
    <row r="32" spans="1:15" x14ac:dyDescent="0.3">
      <c r="A32">
        <v>2015</v>
      </c>
      <c r="B32" t="s">
        <v>47</v>
      </c>
      <c r="C32" t="s">
        <v>255</v>
      </c>
      <c r="D32" t="s">
        <v>844</v>
      </c>
      <c r="E32" t="s">
        <v>845</v>
      </c>
      <c r="F32" t="s">
        <v>846</v>
      </c>
      <c r="G32" t="s">
        <v>47</v>
      </c>
      <c r="H32">
        <v>100.3</v>
      </c>
      <c r="J32" s="1">
        <v>36609.5</v>
      </c>
      <c r="K32" s="1">
        <f t="shared" si="2"/>
        <v>36346.699999999997</v>
      </c>
      <c r="L32" s="40">
        <f t="shared" si="3"/>
        <v>48457.399999999994</v>
      </c>
      <c r="M32" s="40">
        <v>8511.8000000000029</v>
      </c>
    </row>
    <row r="33" spans="1:13" x14ac:dyDescent="0.3">
      <c r="A33">
        <v>2015</v>
      </c>
      <c r="B33" t="s">
        <v>47</v>
      </c>
      <c r="C33" t="s">
        <v>173</v>
      </c>
      <c r="D33" t="s">
        <v>991</v>
      </c>
      <c r="E33" t="s">
        <v>992</v>
      </c>
      <c r="F33" t="s">
        <v>993</v>
      </c>
      <c r="G33" t="s">
        <v>47</v>
      </c>
      <c r="H33">
        <v>199.88</v>
      </c>
      <c r="J33" s="1">
        <v>72956.2</v>
      </c>
      <c r="K33" s="1">
        <f t="shared" si="2"/>
        <v>12110.699999999997</v>
      </c>
      <c r="L33" s="40">
        <f t="shared" si="3"/>
        <v>-18337.599999999999</v>
      </c>
      <c r="M33" s="40">
        <v>7832.9000000000087</v>
      </c>
    </row>
    <row r="34" spans="1:13" x14ac:dyDescent="0.3">
      <c r="A34">
        <v>2015</v>
      </c>
      <c r="B34" t="s">
        <v>47</v>
      </c>
      <c r="C34" t="s">
        <v>195</v>
      </c>
      <c r="D34" t="s">
        <v>1015</v>
      </c>
      <c r="E34" t="s">
        <v>1016</v>
      </c>
      <c r="F34" t="s">
        <v>1017</v>
      </c>
      <c r="G34" t="s">
        <v>47</v>
      </c>
      <c r="H34">
        <v>233.06</v>
      </c>
      <c r="J34" s="1">
        <v>85066.9</v>
      </c>
      <c r="K34" s="1">
        <f t="shared" si="2"/>
        <v>-30448.299999999996</v>
      </c>
      <c r="L34" s="40">
        <f t="shared" si="3"/>
        <v>-32744.149999999994</v>
      </c>
      <c r="M34" s="40">
        <v>7829.25</v>
      </c>
    </row>
    <row r="35" spans="1:13" x14ac:dyDescent="0.3">
      <c r="A35">
        <v>2015</v>
      </c>
      <c r="B35" t="s">
        <v>47</v>
      </c>
      <c r="C35" t="s">
        <v>190</v>
      </c>
      <c r="D35" t="s">
        <v>1039</v>
      </c>
      <c r="E35" t="s">
        <v>1040</v>
      </c>
      <c r="F35" t="s">
        <v>1041</v>
      </c>
      <c r="G35" t="s">
        <v>47</v>
      </c>
      <c r="H35">
        <v>149.63999999999999</v>
      </c>
      <c r="J35" s="1">
        <v>54618.6</v>
      </c>
      <c r="K35" s="1">
        <f t="shared" si="2"/>
        <v>-2295.8499999999985</v>
      </c>
      <c r="L35" s="40">
        <f t="shared" si="3"/>
        <v>2788.5999999999985</v>
      </c>
      <c r="M35" s="40">
        <v>7829.25</v>
      </c>
    </row>
    <row r="36" spans="1:13" x14ac:dyDescent="0.3">
      <c r="A36">
        <v>2015</v>
      </c>
      <c r="B36" t="s">
        <v>48</v>
      </c>
      <c r="C36" t="s">
        <v>361</v>
      </c>
      <c r="D36" t="s">
        <v>1075</v>
      </c>
      <c r="E36" t="s">
        <v>1076</v>
      </c>
      <c r="F36" t="s">
        <v>1077</v>
      </c>
      <c r="G36" t="s">
        <v>1161</v>
      </c>
      <c r="H36">
        <v>129.51</v>
      </c>
      <c r="I36">
        <v>13.84</v>
      </c>
      <c r="J36" s="1">
        <v>52322.75</v>
      </c>
      <c r="K36" s="1">
        <f t="shared" si="2"/>
        <v>5084.4499999999971</v>
      </c>
      <c r="L36" s="40">
        <f t="shared" si="3"/>
        <v>5077.1499999999942</v>
      </c>
      <c r="M36" s="40">
        <v>7825.5999999999985</v>
      </c>
    </row>
    <row r="37" spans="1:13" x14ac:dyDescent="0.3">
      <c r="A37">
        <v>2015</v>
      </c>
      <c r="B37" t="s">
        <v>47</v>
      </c>
      <c r="C37" t="s">
        <v>107</v>
      </c>
      <c r="D37" t="s">
        <v>106</v>
      </c>
      <c r="E37" t="s">
        <v>651</v>
      </c>
      <c r="F37" t="s">
        <v>1157</v>
      </c>
      <c r="G37" t="s">
        <v>47</v>
      </c>
      <c r="H37">
        <v>157.28</v>
      </c>
      <c r="J37" s="1">
        <v>57407.199999999997</v>
      </c>
      <c r="K37" s="1"/>
      <c r="L37" s="40">
        <f>J38-J37</f>
        <v>-7.3000000000029104</v>
      </c>
      <c r="M37" s="40">
        <v>7719.7500000000073</v>
      </c>
    </row>
    <row r="38" spans="1:13" x14ac:dyDescent="0.3">
      <c r="A38">
        <v>2015</v>
      </c>
      <c r="B38" t="s">
        <v>47</v>
      </c>
      <c r="C38" t="s">
        <v>263</v>
      </c>
      <c r="D38" t="s">
        <v>262</v>
      </c>
      <c r="E38" t="s">
        <v>653</v>
      </c>
      <c r="F38" t="s">
        <v>1159</v>
      </c>
      <c r="G38" t="s">
        <v>47</v>
      </c>
      <c r="H38">
        <v>157.26</v>
      </c>
      <c r="J38" s="1">
        <v>57399.899999999994</v>
      </c>
      <c r="K38" s="1"/>
      <c r="L38" s="40">
        <f>J39-J38</f>
        <v>503.70000000000437</v>
      </c>
      <c r="M38" s="40">
        <v>7716.1000000000058</v>
      </c>
    </row>
    <row r="39" spans="1:13" x14ac:dyDescent="0.3">
      <c r="A39">
        <v>2015</v>
      </c>
      <c r="B39" t="s">
        <v>47</v>
      </c>
      <c r="C39" t="s">
        <v>147</v>
      </c>
      <c r="D39" t="s">
        <v>146</v>
      </c>
      <c r="E39" t="s">
        <v>683</v>
      </c>
      <c r="F39" t="s">
        <v>795</v>
      </c>
      <c r="G39" t="s">
        <v>47</v>
      </c>
      <c r="H39">
        <v>158.63999999999999</v>
      </c>
      <c r="J39" s="1">
        <v>57903.6</v>
      </c>
      <c r="K39" s="1">
        <f>J40-J39</f>
        <v>5453.1000000000058</v>
      </c>
      <c r="L39" s="40">
        <f>J41-J39</f>
        <v>-16300.899999999994</v>
      </c>
      <c r="M39" s="40">
        <v>7643.1000000000131</v>
      </c>
    </row>
    <row r="40" spans="1:13" x14ac:dyDescent="0.3">
      <c r="A40">
        <v>2015</v>
      </c>
      <c r="B40" t="s">
        <v>47</v>
      </c>
      <c r="C40" t="s">
        <v>285</v>
      </c>
      <c r="D40" t="s">
        <v>1135</v>
      </c>
      <c r="E40" t="s">
        <v>1136</v>
      </c>
      <c r="F40" t="s">
        <v>1137</v>
      </c>
      <c r="G40" t="s">
        <v>47</v>
      </c>
      <c r="H40">
        <v>173.58</v>
      </c>
      <c r="J40" s="1">
        <v>63356.700000000004</v>
      </c>
      <c r="K40" s="1">
        <f>J41-J40</f>
        <v>-21754</v>
      </c>
      <c r="L40" s="40">
        <f>J42-J40</f>
        <v>-26860.350000000006</v>
      </c>
      <c r="M40" s="40">
        <v>7449.6500000000015</v>
      </c>
    </row>
    <row r="41" spans="1:13" x14ac:dyDescent="0.3">
      <c r="A41">
        <v>2015</v>
      </c>
      <c r="B41" t="s">
        <v>47</v>
      </c>
      <c r="C41" t="s">
        <v>54</v>
      </c>
      <c r="D41" t="s">
        <v>53</v>
      </c>
      <c r="E41" t="s">
        <v>649</v>
      </c>
      <c r="F41" t="s">
        <v>1155</v>
      </c>
      <c r="G41" t="s">
        <v>47</v>
      </c>
      <c r="H41">
        <v>113.98</v>
      </c>
      <c r="J41" s="1">
        <v>41602.700000000004</v>
      </c>
      <c r="K41" s="1"/>
      <c r="L41" s="40">
        <f>J42-J41</f>
        <v>-5106.3500000000058</v>
      </c>
      <c r="M41" s="40">
        <v>7164.9499999999971</v>
      </c>
    </row>
    <row r="42" spans="1:13" x14ac:dyDescent="0.3">
      <c r="A42">
        <v>2015</v>
      </c>
      <c r="B42" t="s">
        <v>47</v>
      </c>
      <c r="C42" t="s">
        <v>210</v>
      </c>
      <c r="D42" t="s">
        <v>209</v>
      </c>
      <c r="E42" t="s">
        <v>647</v>
      </c>
      <c r="F42" t="s">
        <v>1153</v>
      </c>
      <c r="G42" t="s">
        <v>47</v>
      </c>
      <c r="H42">
        <v>99.99</v>
      </c>
      <c r="J42" s="1">
        <v>36496.35</v>
      </c>
      <c r="K42" s="1"/>
      <c r="L42" s="40">
        <f>J43-J42</f>
        <v>7307.3000000000029</v>
      </c>
      <c r="M42" s="40">
        <v>7161.3000000000029</v>
      </c>
    </row>
    <row r="43" spans="1:13" x14ac:dyDescent="0.3">
      <c r="A43">
        <v>2015</v>
      </c>
      <c r="B43" t="s">
        <v>48</v>
      </c>
      <c r="C43" t="s">
        <v>302</v>
      </c>
      <c r="D43" t="s">
        <v>955</v>
      </c>
      <c r="E43" t="s">
        <v>956</v>
      </c>
      <c r="F43" t="s">
        <v>957</v>
      </c>
      <c r="G43" t="s">
        <v>1161</v>
      </c>
      <c r="H43">
        <v>106.17</v>
      </c>
      <c r="I43">
        <v>13.84</v>
      </c>
      <c r="J43" s="1">
        <v>43803.65</v>
      </c>
      <c r="K43" s="1">
        <f t="shared" ref="K43:K53" si="4">J44-J43</f>
        <v>1281.1500000000015</v>
      </c>
      <c r="L43" s="40">
        <f t="shared" ref="L43:L53" si="5">J45-J43</f>
        <v>-3577</v>
      </c>
      <c r="M43" s="40">
        <v>6989.75</v>
      </c>
    </row>
    <row r="44" spans="1:13" x14ac:dyDescent="0.3">
      <c r="A44">
        <v>2015</v>
      </c>
      <c r="B44" t="s">
        <v>48</v>
      </c>
      <c r="C44" t="s">
        <v>192</v>
      </c>
      <c r="D44" t="s">
        <v>191</v>
      </c>
      <c r="E44" t="s">
        <v>619</v>
      </c>
      <c r="F44" t="s">
        <v>765</v>
      </c>
      <c r="G44" t="s">
        <v>1161</v>
      </c>
      <c r="H44">
        <v>111.4</v>
      </c>
      <c r="I44">
        <v>12.120000000000001</v>
      </c>
      <c r="J44" s="1">
        <v>45084.800000000003</v>
      </c>
      <c r="K44" s="1">
        <f t="shared" si="4"/>
        <v>-4858.1500000000015</v>
      </c>
      <c r="L44" s="40">
        <f t="shared" si="5"/>
        <v>12541.399999999994</v>
      </c>
      <c r="M44" s="40">
        <v>6639.3499999999913</v>
      </c>
    </row>
    <row r="45" spans="1:13" x14ac:dyDescent="0.3">
      <c r="A45">
        <v>2015</v>
      </c>
      <c r="B45" t="s">
        <v>48</v>
      </c>
      <c r="C45" t="s">
        <v>109</v>
      </c>
      <c r="D45" t="s">
        <v>108</v>
      </c>
      <c r="E45" t="s">
        <v>615</v>
      </c>
      <c r="F45" t="s">
        <v>756</v>
      </c>
      <c r="G45" t="s">
        <v>1161</v>
      </c>
      <c r="H45">
        <v>98.09</v>
      </c>
      <c r="I45">
        <v>12.120000000000001</v>
      </c>
      <c r="J45" s="1">
        <v>40226.65</v>
      </c>
      <c r="K45" s="1">
        <f t="shared" si="4"/>
        <v>17399.549999999996</v>
      </c>
      <c r="L45" s="40">
        <f t="shared" si="5"/>
        <v>4467.5999999999985</v>
      </c>
      <c r="M45" s="40">
        <v>6015.1999999999971</v>
      </c>
    </row>
    <row r="46" spans="1:13" x14ac:dyDescent="0.3">
      <c r="A46">
        <v>2015</v>
      </c>
      <c r="B46" t="s">
        <v>47</v>
      </c>
      <c r="C46" t="s">
        <v>304</v>
      </c>
      <c r="D46" t="s">
        <v>1111</v>
      </c>
      <c r="E46" t="s">
        <v>1112</v>
      </c>
      <c r="F46" t="s">
        <v>1113</v>
      </c>
      <c r="G46" t="s">
        <v>47</v>
      </c>
      <c r="H46">
        <v>157.88</v>
      </c>
      <c r="J46" s="1">
        <v>57626.2</v>
      </c>
      <c r="K46" s="1">
        <f t="shared" si="4"/>
        <v>-12931.949999999997</v>
      </c>
      <c r="L46" s="40">
        <f t="shared" si="5"/>
        <v>-1372.3999999999942</v>
      </c>
      <c r="M46" s="40">
        <v>6000.5999999999985</v>
      </c>
    </row>
    <row r="47" spans="1:13" x14ac:dyDescent="0.3">
      <c r="A47">
        <v>2015</v>
      </c>
      <c r="B47" t="s">
        <v>47</v>
      </c>
      <c r="C47" t="s">
        <v>310</v>
      </c>
      <c r="D47" t="s">
        <v>309</v>
      </c>
      <c r="E47" t="s">
        <v>679</v>
      </c>
      <c r="F47" t="s">
        <v>786</v>
      </c>
      <c r="G47" t="s">
        <v>47</v>
      </c>
      <c r="H47">
        <v>122.45</v>
      </c>
      <c r="J47" s="1">
        <v>44694.25</v>
      </c>
      <c r="K47" s="1">
        <f t="shared" si="4"/>
        <v>11559.550000000003</v>
      </c>
      <c r="L47" s="40">
        <f t="shared" si="5"/>
        <v>2441.8499999999985</v>
      </c>
      <c r="M47" s="40">
        <v>5869.1999999999971</v>
      </c>
    </row>
    <row r="48" spans="1:13" x14ac:dyDescent="0.3">
      <c r="A48">
        <v>2015</v>
      </c>
      <c r="B48" t="s">
        <v>47</v>
      </c>
      <c r="C48" t="s">
        <v>373</v>
      </c>
      <c r="D48" t="s">
        <v>372</v>
      </c>
      <c r="E48" t="s">
        <v>687</v>
      </c>
      <c r="F48" t="s">
        <v>804</v>
      </c>
      <c r="G48" t="s">
        <v>47</v>
      </c>
      <c r="H48">
        <v>154.12</v>
      </c>
      <c r="J48" s="1">
        <v>56253.8</v>
      </c>
      <c r="K48" s="1">
        <f t="shared" si="4"/>
        <v>-9117.7000000000044</v>
      </c>
      <c r="L48" s="40">
        <f t="shared" si="5"/>
        <v>-10825.900000000009</v>
      </c>
      <c r="M48" s="40">
        <v>5562.5999999999985</v>
      </c>
    </row>
    <row r="49" spans="1:13" x14ac:dyDescent="0.3">
      <c r="A49">
        <v>2015</v>
      </c>
      <c r="B49" t="s">
        <v>47</v>
      </c>
      <c r="C49" t="s">
        <v>288</v>
      </c>
      <c r="D49" t="s">
        <v>287</v>
      </c>
      <c r="E49" t="s">
        <v>675</v>
      </c>
      <c r="F49" t="s">
        <v>777</v>
      </c>
      <c r="G49" t="s">
        <v>47</v>
      </c>
      <c r="H49">
        <v>129.13999999999999</v>
      </c>
      <c r="J49" s="1">
        <v>47136.1</v>
      </c>
      <c r="K49" s="1">
        <f t="shared" si="4"/>
        <v>-1708.2000000000044</v>
      </c>
      <c r="L49" s="40">
        <f t="shared" si="5"/>
        <v>-9825.7999999999956</v>
      </c>
      <c r="M49" s="40">
        <v>5551.6500000000015</v>
      </c>
    </row>
    <row r="50" spans="1:13" x14ac:dyDescent="0.3">
      <c r="A50">
        <v>2015</v>
      </c>
      <c r="B50" t="s">
        <v>47</v>
      </c>
      <c r="C50" t="s">
        <v>224</v>
      </c>
      <c r="D50" t="s">
        <v>1087</v>
      </c>
      <c r="E50" t="s">
        <v>1088</v>
      </c>
      <c r="F50" t="s">
        <v>1089</v>
      </c>
      <c r="G50" t="s">
        <v>47</v>
      </c>
      <c r="H50">
        <v>124.46</v>
      </c>
      <c r="J50" s="1">
        <v>45427.899999999994</v>
      </c>
      <c r="K50" s="1">
        <f t="shared" si="4"/>
        <v>-8117.5999999999913</v>
      </c>
      <c r="L50" s="40">
        <f t="shared" si="5"/>
        <v>-6299.8999999999942</v>
      </c>
      <c r="M50" s="40">
        <v>4697.5500000000102</v>
      </c>
    </row>
    <row r="51" spans="1:13" x14ac:dyDescent="0.3">
      <c r="A51">
        <v>2015</v>
      </c>
      <c r="B51" t="s">
        <v>47</v>
      </c>
      <c r="C51" t="s">
        <v>360</v>
      </c>
      <c r="D51" t="s">
        <v>967</v>
      </c>
      <c r="E51" t="s">
        <v>968</v>
      </c>
      <c r="F51" t="s">
        <v>969</v>
      </c>
      <c r="G51" t="s">
        <v>47</v>
      </c>
      <c r="H51">
        <v>102.22</v>
      </c>
      <c r="J51" s="1">
        <v>37310.300000000003</v>
      </c>
      <c r="K51" s="1">
        <f t="shared" si="4"/>
        <v>1817.6999999999971</v>
      </c>
      <c r="L51" s="40">
        <f t="shared" si="5"/>
        <v>-2821.4500000000044</v>
      </c>
      <c r="M51" s="40">
        <v>3916.4499999999971</v>
      </c>
    </row>
    <row r="52" spans="1:13" x14ac:dyDescent="0.3">
      <c r="A52">
        <v>2015</v>
      </c>
      <c r="B52" t="s">
        <v>47</v>
      </c>
      <c r="C52" t="s">
        <v>275</v>
      </c>
      <c r="D52" t="s">
        <v>274</v>
      </c>
      <c r="E52" t="s">
        <v>671</v>
      </c>
      <c r="F52" t="s">
        <v>769</v>
      </c>
      <c r="G52" t="s">
        <v>47</v>
      </c>
      <c r="H52">
        <v>107.2</v>
      </c>
      <c r="J52" s="1">
        <v>39128</v>
      </c>
      <c r="K52" s="1">
        <f t="shared" si="4"/>
        <v>-4639.1500000000015</v>
      </c>
      <c r="L52" s="40">
        <f t="shared" si="5"/>
        <v>-9906.0999999999985</v>
      </c>
      <c r="M52" s="40">
        <v>3832.5</v>
      </c>
    </row>
    <row r="53" spans="1:13" x14ac:dyDescent="0.3">
      <c r="A53">
        <v>2015</v>
      </c>
      <c r="B53" t="s">
        <v>47</v>
      </c>
      <c r="C53" t="s">
        <v>220</v>
      </c>
      <c r="D53" t="s">
        <v>219</v>
      </c>
      <c r="E53" t="s">
        <v>667</v>
      </c>
      <c r="F53" t="s">
        <v>760</v>
      </c>
      <c r="G53" t="s">
        <v>47</v>
      </c>
      <c r="H53">
        <v>94.49</v>
      </c>
      <c r="J53" s="1">
        <v>34488.85</v>
      </c>
      <c r="K53" s="1">
        <f t="shared" si="4"/>
        <v>-5266.9499999999971</v>
      </c>
      <c r="L53" s="40">
        <f t="shared" si="5"/>
        <v>1653.4500000000044</v>
      </c>
      <c r="M53" s="40">
        <v>3248.5</v>
      </c>
    </row>
    <row r="54" spans="1:13" x14ac:dyDescent="0.3">
      <c r="A54">
        <v>2015</v>
      </c>
      <c r="B54" t="s">
        <v>48</v>
      </c>
      <c r="C54" t="s">
        <v>254</v>
      </c>
      <c r="D54" t="s">
        <v>253</v>
      </c>
      <c r="E54" t="s">
        <v>579</v>
      </c>
      <c r="F54" t="s">
        <v>1149</v>
      </c>
      <c r="G54" t="s">
        <v>1161</v>
      </c>
      <c r="H54">
        <v>66.75</v>
      </c>
      <c r="I54">
        <v>13.31</v>
      </c>
      <c r="J54" s="1">
        <v>29221.9</v>
      </c>
      <c r="K54" s="1"/>
    </row>
    <row r="55" spans="1:13" x14ac:dyDescent="0.3">
      <c r="A55">
        <v>2015</v>
      </c>
      <c r="B55" t="s">
        <v>48</v>
      </c>
      <c r="C55" t="s">
        <v>298</v>
      </c>
      <c r="D55" t="s">
        <v>297</v>
      </c>
      <c r="E55" t="s">
        <v>580</v>
      </c>
      <c r="F55" t="s">
        <v>1150</v>
      </c>
      <c r="G55" t="s">
        <v>1161</v>
      </c>
      <c r="H55">
        <v>85.09</v>
      </c>
      <c r="I55">
        <v>13.930000000000001</v>
      </c>
      <c r="J55" s="1">
        <v>36142.300000000003</v>
      </c>
      <c r="K55" s="1"/>
    </row>
    <row r="56" spans="1:13" x14ac:dyDescent="0.3">
      <c r="A56">
        <v>2015</v>
      </c>
      <c r="B56" t="s">
        <v>48</v>
      </c>
      <c r="C56" t="s">
        <v>62</v>
      </c>
      <c r="D56" t="s">
        <v>61</v>
      </c>
      <c r="E56" t="s">
        <v>582</v>
      </c>
      <c r="F56" t="s">
        <v>701</v>
      </c>
      <c r="G56" t="s">
        <v>1161</v>
      </c>
      <c r="H56">
        <v>129.01</v>
      </c>
      <c r="I56">
        <v>15.670000000000002</v>
      </c>
      <c r="J56" s="1">
        <v>52808.200000000004</v>
      </c>
      <c r="K56" s="1"/>
    </row>
    <row r="57" spans="1:13" x14ac:dyDescent="0.3">
      <c r="A57">
        <v>2015</v>
      </c>
      <c r="B57" t="s">
        <v>48</v>
      </c>
      <c r="C57" t="s">
        <v>342</v>
      </c>
      <c r="D57" t="s">
        <v>341</v>
      </c>
      <c r="E57" t="s">
        <v>584</v>
      </c>
      <c r="F57" t="s">
        <v>703</v>
      </c>
      <c r="G57" t="s">
        <v>1161</v>
      </c>
      <c r="H57">
        <v>143.22</v>
      </c>
      <c r="I57">
        <v>15.879999999999999</v>
      </c>
      <c r="J57" s="1">
        <v>58071.5</v>
      </c>
      <c r="K57" s="1"/>
    </row>
    <row r="58" spans="1:13" x14ac:dyDescent="0.3">
      <c r="A58">
        <v>2015</v>
      </c>
      <c r="B58" t="s">
        <v>48</v>
      </c>
      <c r="C58" t="s">
        <v>270</v>
      </c>
      <c r="D58" t="s">
        <v>269</v>
      </c>
      <c r="E58" t="s">
        <v>586</v>
      </c>
      <c r="F58" t="s">
        <v>705</v>
      </c>
      <c r="G58" t="s">
        <v>1161</v>
      </c>
      <c r="H58">
        <v>188.24</v>
      </c>
      <c r="I58">
        <v>16.510000000000002</v>
      </c>
      <c r="J58" s="1">
        <v>74733.75</v>
      </c>
      <c r="K58" s="1"/>
    </row>
    <row r="59" spans="1:13" x14ac:dyDescent="0.3">
      <c r="A59">
        <v>2015</v>
      </c>
      <c r="B59" t="s">
        <v>48</v>
      </c>
      <c r="C59" t="s">
        <v>284</v>
      </c>
      <c r="D59" t="s">
        <v>283</v>
      </c>
      <c r="E59" t="s">
        <v>588</v>
      </c>
      <c r="F59" t="s">
        <v>707</v>
      </c>
      <c r="G59" t="s">
        <v>1161</v>
      </c>
      <c r="H59">
        <v>188.55</v>
      </c>
      <c r="I59">
        <v>16.830000000000002</v>
      </c>
      <c r="J59" s="1">
        <v>74963.700000000012</v>
      </c>
      <c r="K59" s="1"/>
    </row>
    <row r="60" spans="1:13" x14ac:dyDescent="0.3">
      <c r="A60">
        <v>2015</v>
      </c>
      <c r="B60" t="s">
        <v>48</v>
      </c>
      <c r="C60" t="s">
        <v>164</v>
      </c>
      <c r="D60" t="s">
        <v>163</v>
      </c>
      <c r="E60" t="s">
        <v>590</v>
      </c>
      <c r="F60" t="s">
        <v>709</v>
      </c>
      <c r="G60" t="s">
        <v>1161</v>
      </c>
      <c r="H60">
        <v>224.62</v>
      </c>
      <c r="I60">
        <v>17.29</v>
      </c>
      <c r="J60" s="1">
        <v>88297.15</v>
      </c>
      <c r="K60" s="1"/>
    </row>
    <row r="61" spans="1:13" x14ac:dyDescent="0.3">
      <c r="A61">
        <v>2015</v>
      </c>
      <c r="B61" t="s">
        <v>48</v>
      </c>
      <c r="C61" t="s">
        <v>371</v>
      </c>
      <c r="D61" t="s">
        <v>370</v>
      </c>
      <c r="E61" t="s">
        <v>592</v>
      </c>
      <c r="F61" t="s">
        <v>713</v>
      </c>
      <c r="G61" t="s">
        <v>1161</v>
      </c>
      <c r="H61">
        <v>256.25</v>
      </c>
      <c r="I61">
        <v>18.260000000000002</v>
      </c>
      <c r="J61" s="1">
        <v>100196.15</v>
      </c>
      <c r="K61" s="1"/>
    </row>
    <row r="62" spans="1:13" x14ac:dyDescent="0.3">
      <c r="A62">
        <v>2015</v>
      </c>
      <c r="B62" t="s">
        <v>48</v>
      </c>
      <c r="C62" t="s">
        <v>570</v>
      </c>
      <c r="D62" t="s">
        <v>569</v>
      </c>
      <c r="E62" t="s">
        <v>594</v>
      </c>
      <c r="F62" t="s">
        <v>717</v>
      </c>
      <c r="G62" t="s">
        <v>1161</v>
      </c>
      <c r="H62">
        <v>223.57</v>
      </c>
      <c r="I62">
        <v>21.29</v>
      </c>
      <c r="J62" s="1">
        <v>89373.9</v>
      </c>
      <c r="K62" s="1"/>
    </row>
    <row r="63" spans="1:13" x14ac:dyDescent="0.3">
      <c r="A63">
        <v>2015</v>
      </c>
      <c r="B63" t="s">
        <v>48</v>
      </c>
      <c r="C63" t="s">
        <v>130</v>
      </c>
      <c r="D63" t="s">
        <v>129</v>
      </c>
      <c r="E63" t="s">
        <v>596</v>
      </c>
      <c r="F63" t="s">
        <v>721</v>
      </c>
      <c r="G63" t="s">
        <v>1161</v>
      </c>
      <c r="H63">
        <v>277.11</v>
      </c>
      <c r="I63">
        <v>17.73</v>
      </c>
      <c r="J63" s="1">
        <v>107616.6</v>
      </c>
      <c r="K63" s="1"/>
    </row>
    <row r="64" spans="1:13" x14ac:dyDescent="0.3">
      <c r="A64">
        <v>2015</v>
      </c>
      <c r="B64" t="s">
        <v>48</v>
      </c>
      <c r="C64" t="s">
        <v>375</v>
      </c>
      <c r="D64" t="s">
        <v>374</v>
      </c>
      <c r="E64" t="s">
        <v>597</v>
      </c>
      <c r="F64" t="s">
        <v>724</v>
      </c>
      <c r="G64" t="s">
        <v>1161</v>
      </c>
      <c r="H64">
        <v>80.16</v>
      </c>
      <c r="I64">
        <v>9.66</v>
      </c>
      <c r="J64" s="1">
        <v>32784.299999999996</v>
      </c>
      <c r="K64" s="1">
        <f>J65-J64</f>
        <v>10844.150000000001</v>
      </c>
    </row>
    <row r="65" spans="1:11" x14ac:dyDescent="0.3">
      <c r="A65">
        <v>2015</v>
      </c>
      <c r="B65" t="s">
        <v>48</v>
      </c>
      <c r="C65" t="s">
        <v>295</v>
      </c>
      <c r="D65" t="s">
        <v>294</v>
      </c>
      <c r="E65" t="s">
        <v>598</v>
      </c>
      <c r="F65" t="s">
        <v>725</v>
      </c>
      <c r="G65" t="s">
        <v>1161</v>
      </c>
      <c r="H65">
        <v>104.78</v>
      </c>
      <c r="I65">
        <v>14.75</v>
      </c>
      <c r="J65" s="1">
        <v>43628.45</v>
      </c>
      <c r="K65" s="1"/>
    </row>
    <row r="66" spans="1:11" x14ac:dyDescent="0.3">
      <c r="A66">
        <v>2015</v>
      </c>
      <c r="B66" t="s">
        <v>48</v>
      </c>
      <c r="C66" t="s">
        <v>315</v>
      </c>
      <c r="D66" t="s">
        <v>314</v>
      </c>
      <c r="E66" t="s">
        <v>599</v>
      </c>
      <c r="F66" t="s">
        <v>726</v>
      </c>
      <c r="G66" t="s">
        <v>1161</v>
      </c>
      <c r="H66">
        <v>118.23</v>
      </c>
      <c r="I66">
        <v>9.66</v>
      </c>
      <c r="J66" s="1">
        <v>46679.85</v>
      </c>
      <c r="K66" s="1">
        <f>J67-J66</f>
        <v>10048.449999999997</v>
      </c>
    </row>
    <row r="67" spans="1:11" x14ac:dyDescent="0.3">
      <c r="A67">
        <v>2015</v>
      </c>
      <c r="B67" t="s">
        <v>48</v>
      </c>
      <c r="C67" t="s">
        <v>70</v>
      </c>
      <c r="D67" t="s">
        <v>69</v>
      </c>
      <c r="E67" t="s">
        <v>600</v>
      </c>
      <c r="F67" t="s">
        <v>727</v>
      </c>
      <c r="G67" t="s">
        <v>1161</v>
      </c>
      <c r="H67">
        <v>140.66999999999999</v>
      </c>
      <c r="I67">
        <v>14.75</v>
      </c>
      <c r="J67" s="1">
        <v>56728.299999999996</v>
      </c>
      <c r="K67" s="1"/>
    </row>
    <row r="68" spans="1:11" x14ac:dyDescent="0.3">
      <c r="A68">
        <v>2015</v>
      </c>
      <c r="B68" t="s">
        <v>48</v>
      </c>
      <c r="C68" t="s">
        <v>213</v>
      </c>
      <c r="D68" t="s">
        <v>212</v>
      </c>
      <c r="E68" t="s">
        <v>601</v>
      </c>
      <c r="F68" t="s">
        <v>728</v>
      </c>
      <c r="G68" t="s">
        <v>1161</v>
      </c>
      <c r="H68">
        <v>128.72</v>
      </c>
      <c r="I68">
        <v>14.03</v>
      </c>
      <c r="J68" s="1">
        <v>52103.75</v>
      </c>
      <c r="K68" s="1">
        <f>J69-J68</f>
        <v>11041.25</v>
      </c>
    </row>
    <row r="69" spans="1:11" x14ac:dyDescent="0.3">
      <c r="A69">
        <v>2015</v>
      </c>
      <c r="B69" t="s">
        <v>48</v>
      </c>
      <c r="C69" t="s">
        <v>322</v>
      </c>
      <c r="D69" t="s">
        <v>321</v>
      </c>
      <c r="E69" t="s">
        <v>602</v>
      </c>
      <c r="F69" t="s">
        <v>729</v>
      </c>
      <c r="G69" t="s">
        <v>1161</v>
      </c>
      <c r="H69">
        <v>153.94999999999999</v>
      </c>
      <c r="I69">
        <v>19.049999999999997</v>
      </c>
      <c r="J69" s="1">
        <v>63145</v>
      </c>
      <c r="K69" s="1"/>
    </row>
    <row r="70" spans="1:11" x14ac:dyDescent="0.3">
      <c r="A70">
        <v>2015</v>
      </c>
      <c r="B70" t="s">
        <v>48</v>
      </c>
      <c r="C70" t="s">
        <v>335</v>
      </c>
      <c r="D70" t="s">
        <v>334</v>
      </c>
      <c r="E70" t="s">
        <v>603</v>
      </c>
      <c r="F70" t="s">
        <v>730</v>
      </c>
      <c r="G70" t="s">
        <v>1161</v>
      </c>
      <c r="H70">
        <v>148.41</v>
      </c>
      <c r="I70">
        <v>14.03</v>
      </c>
      <c r="J70" s="1">
        <v>59290.6</v>
      </c>
      <c r="K70" s="1">
        <f>J71-J70</f>
        <v>11534.000000000007</v>
      </c>
    </row>
    <row r="71" spans="1:11" x14ac:dyDescent="0.3">
      <c r="A71">
        <v>2015</v>
      </c>
      <c r="B71" t="s">
        <v>48</v>
      </c>
      <c r="C71" t="s">
        <v>320</v>
      </c>
      <c r="D71" t="s">
        <v>319</v>
      </c>
      <c r="E71" t="s">
        <v>604</v>
      </c>
      <c r="F71" t="s">
        <v>731</v>
      </c>
      <c r="G71" t="s">
        <v>1161</v>
      </c>
      <c r="H71">
        <v>174.99</v>
      </c>
      <c r="I71">
        <v>19.049999999999997</v>
      </c>
      <c r="J71" s="1">
        <v>70824.600000000006</v>
      </c>
      <c r="K71" s="1"/>
    </row>
    <row r="72" spans="1:11" x14ac:dyDescent="0.3">
      <c r="A72">
        <v>2015</v>
      </c>
      <c r="B72" t="s">
        <v>48</v>
      </c>
      <c r="C72" t="s">
        <v>194</v>
      </c>
      <c r="D72" t="s">
        <v>193</v>
      </c>
      <c r="E72" t="s">
        <v>605</v>
      </c>
      <c r="F72" t="s">
        <v>732</v>
      </c>
      <c r="G72" t="s">
        <v>1161</v>
      </c>
      <c r="H72">
        <v>160.44</v>
      </c>
      <c r="I72">
        <v>18.149999999999999</v>
      </c>
      <c r="J72" s="1">
        <v>65185.35</v>
      </c>
      <c r="K72" s="1">
        <f>J73-J72</f>
        <v>11902.650000000001</v>
      </c>
    </row>
    <row r="73" spans="1:11" x14ac:dyDescent="0.3">
      <c r="A73">
        <v>2015</v>
      </c>
      <c r="B73" t="s">
        <v>48</v>
      </c>
      <c r="C73" t="s">
        <v>346</v>
      </c>
      <c r="D73" t="s">
        <v>345</v>
      </c>
      <c r="E73" t="s">
        <v>606</v>
      </c>
      <c r="F73" t="s">
        <v>733</v>
      </c>
      <c r="G73" t="s">
        <v>1161</v>
      </c>
      <c r="H73">
        <v>187.5</v>
      </c>
      <c r="I73">
        <v>23.7</v>
      </c>
      <c r="J73" s="1">
        <v>77088</v>
      </c>
      <c r="K73" s="1"/>
    </row>
    <row r="74" spans="1:11" x14ac:dyDescent="0.3">
      <c r="A74">
        <v>2015</v>
      </c>
      <c r="B74" t="s">
        <v>48</v>
      </c>
      <c r="C74" t="s">
        <v>154</v>
      </c>
      <c r="D74" t="s">
        <v>153</v>
      </c>
      <c r="E74" t="s">
        <v>607</v>
      </c>
      <c r="F74" t="s">
        <v>734</v>
      </c>
      <c r="G74" t="s">
        <v>1161</v>
      </c>
      <c r="H74">
        <v>217.79</v>
      </c>
      <c r="I74">
        <v>16.71</v>
      </c>
      <c r="J74" s="1">
        <v>85592.5</v>
      </c>
      <c r="K74" s="1">
        <f>J75-J74</f>
        <v>11804.099999999991</v>
      </c>
    </row>
    <row r="75" spans="1:11" x14ac:dyDescent="0.3">
      <c r="A75">
        <v>2015</v>
      </c>
      <c r="B75" t="s">
        <v>48</v>
      </c>
      <c r="C75" t="s">
        <v>243</v>
      </c>
      <c r="D75" t="s">
        <v>242</v>
      </c>
      <c r="E75" t="s">
        <v>608</v>
      </c>
      <c r="F75" t="s">
        <v>735</v>
      </c>
      <c r="G75" t="s">
        <v>1161</v>
      </c>
      <c r="H75">
        <v>245.5</v>
      </c>
      <c r="I75">
        <v>21.34</v>
      </c>
      <c r="J75" s="1">
        <v>97396.599999999991</v>
      </c>
      <c r="K75" s="1"/>
    </row>
    <row r="76" spans="1:11" x14ac:dyDescent="0.3">
      <c r="A76">
        <v>2015</v>
      </c>
      <c r="B76" t="s">
        <v>48</v>
      </c>
      <c r="C76" t="s">
        <v>260</v>
      </c>
      <c r="D76" t="s">
        <v>259</v>
      </c>
      <c r="E76" t="s">
        <v>609</v>
      </c>
      <c r="F76" t="s">
        <v>697</v>
      </c>
      <c r="G76" t="s">
        <v>1161</v>
      </c>
      <c r="H76">
        <v>290.49</v>
      </c>
      <c r="I76">
        <v>18.729999999999997</v>
      </c>
      <c r="J76" s="1">
        <v>112865.3</v>
      </c>
      <c r="K76" s="1">
        <f>J77-J76</f>
        <v>18567.549999999974</v>
      </c>
    </row>
    <row r="77" spans="1:11" x14ac:dyDescent="0.3">
      <c r="A77">
        <v>2015</v>
      </c>
      <c r="B77" t="s">
        <v>48</v>
      </c>
      <c r="C77" t="s">
        <v>151</v>
      </c>
      <c r="D77" t="s">
        <v>150</v>
      </c>
      <c r="E77" t="s">
        <v>610</v>
      </c>
      <c r="F77" t="s">
        <v>698</v>
      </c>
      <c r="G77" t="s">
        <v>1161</v>
      </c>
      <c r="H77">
        <v>334</v>
      </c>
      <c r="I77">
        <v>26.09</v>
      </c>
      <c r="J77" s="1">
        <v>131432.84999999998</v>
      </c>
      <c r="K77" s="1"/>
    </row>
    <row r="78" spans="1:11" x14ac:dyDescent="0.3">
      <c r="A78">
        <v>2015</v>
      </c>
      <c r="B78" t="s">
        <v>48</v>
      </c>
      <c r="C78" t="s">
        <v>175</v>
      </c>
      <c r="D78" t="s">
        <v>174</v>
      </c>
      <c r="E78" t="s">
        <v>611</v>
      </c>
      <c r="F78" t="s">
        <v>736</v>
      </c>
      <c r="G78" t="s">
        <v>1161</v>
      </c>
      <c r="H78">
        <v>66.45</v>
      </c>
      <c r="I78">
        <v>12.120000000000001</v>
      </c>
      <c r="J78" s="1">
        <v>28678.050000000003</v>
      </c>
      <c r="K78" s="1">
        <f>J79-J78</f>
        <v>14402.899999999994</v>
      </c>
    </row>
    <row r="79" spans="1:11" x14ac:dyDescent="0.3">
      <c r="A79">
        <v>2015</v>
      </c>
      <c r="B79" t="s">
        <v>48</v>
      </c>
      <c r="C79" t="s">
        <v>277</v>
      </c>
      <c r="D79" t="s">
        <v>276</v>
      </c>
      <c r="E79" t="s">
        <v>612</v>
      </c>
      <c r="F79" t="s">
        <v>737</v>
      </c>
      <c r="G79" t="s">
        <v>1161</v>
      </c>
      <c r="H79">
        <v>101.93</v>
      </c>
      <c r="I79">
        <v>16.100000000000001</v>
      </c>
      <c r="J79" s="1">
        <v>43080.95</v>
      </c>
      <c r="K79" s="1"/>
    </row>
    <row r="80" spans="1:11" x14ac:dyDescent="0.3">
      <c r="A80">
        <v>2015</v>
      </c>
      <c r="B80" t="s">
        <v>48</v>
      </c>
      <c r="C80" t="s">
        <v>67</v>
      </c>
      <c r="D80" t="s">
        <v>66</v>
      </c>
      <c r="E80" t="s">
        <v>613</v>
      </c>
      <c r="F80" t="s">
        <v>740</v>
      </c>
      <c r="G80" t="s">
        <v>1161</v>
      </c>
      <c r="H80">
        <v>83.58</v>
      </c>
      <c r="I80">
        <v>12.120000000000001</v>
      </c>
      <c r="J80" s="1">
        <v>34930.5</v>
      </c>
      <c r="K80" s="1">
        <f>J81-J80</f>
        <v>14406.549999999996</v>
      </c>
    </row>
    <row r="81" spans="1:11" x14ac:dyDescent="0.3">
      <c r="A81">
        <v>2015</v>
      </c>
      <c r="B81" t="s">
        <v>48</v>
      </c>
      <c r="C81" t="s">
        <v>149</v>
      </c>
      <c r="D81" t="s">
        <v>148</v>
      </c>
      <c r="E81" t="s">
        <v>614</v>
      </c>
      <c r="F81" t="s">
        <v>741</v>
      </c>
      <c r="G81" t="s">
        <v>1161</v>
      </c>
      <c r="H81">
        <v>119.07</v>
      </c>
      <c r="I81">
        <v>16.100000000000001</v>
      </c>
      <c r="J81" s="1">
        <v>49337.049999999996</v>
      </c>
      <c r="K81" s="1"/>
    </row>
    <row r="82" spans="1:11" x14ac:dyDescent="0.3">
      <c r="A82">
        <v>2015</v>
      </c>
      <c r="B82" t="s">
        <v>48</v>
      </c>
      <c r="C82" t="s">
        <v>75</v>
      </c>
      <c r="D82" t="s">
        <v>74</v>
      </c>
      <c r="E82" t="s">
        <v>616</v>
      </c>
      <c r="F82" t="s">
        <v>757</v>
      </c>
      <c r="G82" t="s">
        <v>1161</v>
      </c>
      <c r="H82">
        <v>133.57</v>
      </c>
      <c r="I82">
        <v>16.100000000000001</v>
      </c>
      <c r="J82" s="1">
        <v>54629.549999999996</v>
      </c>
      <c r="K82" s="1"/>
    </row>
    <row r="83" spans="1:11" x14ac:dyDescent="0.3">
      <c r="A83">
        <v>2015</v>
      </c>
      <c r="B83" t="s">
        <v>48</v>
      </c>
      <c r="C83" t="s">
        <v>313</v>
      </c>
      <c r="D83" t="s">
        <v>312</v>
      </c>
      <c r="E83" t="s">
        <v>617</v>
      </c>
      <c r="F83" t="s">
        <v>758</v>
      </c>
      <c r="G83" t="s">
        <v>1161</v>
      </c>
      <c r="H83">
        <v>113.99</v>
      </c>
      <c r="I83">
        <v>12.7</v>
      </c>
      <c r="J83" s="1">
        <v>46241.85</v>
      </c>
      <c r="K83" s="1"/>
    </row>
    <row r="84" spans="1:11" x14ac:dyDescent="0.3">
      <c r="A84">
        <v>2015</v>
      </c>
      <c r="B84" t="s">
        <v>48</v>
      </c>
      <c r="C84" t="s">
        <v>115</v>
      </c>
      <c r="D84" t="s">
        <v>114</v>
      </c>
      <c r="E84" t="s">
        <v>618</v>
      </c>
      <c r="F84" t="s">
        <v>759</v>
      </c>
      <c r="G84" t="s">
        <v>1161</v>
      </c>
      <c r="H84">
        <v>149.47999999999999</v>
      </c>
      <c r="I84">
        <v>16.690000000000001</v>
      </c>
      <c r="J84" s="1">
        <v>60652.049999999996</v>
      </c>
      <c r="K84" s="1"/>
    </row>
    <row r="85" spans="1:11" x14ac:dyDescent="0.3">
      <c r="A85">
        <v>2015</v>
      </c>
      <c r="B85" t="s">
        <v>48</v>
      </c>
      <c r="C85" t="s">
        <v>83</v>
      </c>
      <c r="D85" t="s">
        <v>82</v>
      </c>
      <c r="E85" t="s">
        <v>620</v>
      </c>
      <c r="F85" t="s">
        <v>766</v>
      </c>
      <c r="G85" t="s">
        <v>1161</v>
      </c>
      <c r="H85">
        <v>146.91</v>
      </c>
      <c r="I85">
        <v>16.100000000000001</v>
      </c>
      <c r="J85" s="1">
        <v>59498.649999999994</v>
      </c>
      <c r="K85" s="1"/>
    </row>
    <row r="86" spans="1:11" x14ac:dyDescent="0.3">
      <c r="A86">
        <v>2015</v>
      </c>
      <c r="B86" t="s">
        <v>48</v>
      </c>
      <c r="C86" t="s">
        <v>185</v>
      </c>
      <c r="D86" t="s">
        <v>184</v>
      </c>
      <c r="E86" t="s">
        <v>621</v>
      </c>
      <c r="F86" t="s">
        <v>767</v>
      </c>
      <c r="G86" t="s">
        <v>1161</v>
      </c>
      <c r="H86">
        <v>129.01</v>
      </c>
      <c r="I86">
        <v>12.7</v>
      </c>
      <c r="J86" s="1">
        <v>51724.149999999994</v>
      </c>
      <c r="K86" s="1"/>
    </row>
    <row r="87" spans="1:11" x14ac:dyDescent="0.3">
      <c r="A87">
        <v>2015</v>
      </c>
      <c r="B87" t="s">
        <v>48</v>
      </c>
      <c r="C87" t="s">
        <v>363</v>
      </c>
      <c r="D87" t="s">
        <v>362</v>
      </c>
      <c r="E87" t="s">
        <v>622</v>
      </c>
      <c r="F87" t="s">
        <v>768</v>
      </c>
      <c r="G87" t="s">
        <v>1161</v>
      </c>
      <c r="H87">
        <v>164.5</v>
      </c>
      <c r="I87">
        <v>16.690000000000001</v>
      </c>
      <c r="J87" s="1">
        <v>66134.350000000006</v>
      </c>
      <c r="K87" s="1"/>
    </row>
    <row r="88" spans="1:11" x14ac:dyDescent="0.3">
      <c r="A88">
        <v>2015</v>
      </c>
      <c r="B88" t="s">
        <v>48</v>
      </c>
      <c r="C88" t="s">
        <v>170</v>
      </c>
      <c r="D88" t="s">
        <v>169</v>
      </c>
      <c r="E88" t="s">
        <v>624</v>
      </c>
      <c r="F88" t="s">
        <v>774</v>
      </c>
      <c r="G88" t="s">
        <v>1161</v>
      </c>
      <c r="H88">
        <v>183</v>
      </c>
      <c r="I88">
        <v>17.62</v>
      </c>
      <c r="J88" s="1">
        <v>73226.3</v>
      </c>
      <c r="K88" s="1"/>
    </row>
    <row r="89" spans="1:11" x14ac:dyDescent="0.3">
      <c r="A89">
        <v>2015</v>
      </c>
      <c r="B89" t="s">
        <v>48</v>
      </c>
      <c r="C89" t="s">
        <v>226</v>
      </c>
      <c r="D89" t="s">
        <v>225</v>
      </c>
      <c r="E89" t="s">
        <v>625</v>
      </c>
      <c r="F89" t="s">
        <v>775</v>
      </c>
      <c r="G89" t="s">
        <v>1161</v>
      </c>
      <c r="H89">
        <v>157</v>
      </c>
      <c r="I89">
        <v>16.2</v>
      </c>
      <c r="J89" s="1">
        <v>63217.999999999993</v>
      </c>
      <c r="K89" s="1"/>
    </row>
    <row r="90" spans="1:11" x14ac:dyDescent="0.3">
      <c r="A90">
        <v>2015</v>
      </c>
      <c r="B90" t="s">
        <v>48</v>
      </c>
      <c r="C90" t="s">
        <v>73</v>
      </c>
      <c r="D90" t="s">
        <v>72</v>
      </c>
      <c r="E90" t="s">
        <v>626</v>
      </c>
      <c r="F90" t="s">
        <v>776</v>
      </c>
      <c r="G90" t="s">
        <v>1161</v>
      </c>
      <c r="H90">
        <v>205.56</v>
      </c>
      <c r="I90">
        <v>20.79</v>
      </c>
      <c r="J90" s="1">
        <v>82617.75</v>
      </c>
      <c r="K90" s="1"/>
    </row>
    <row r="91" spans="1:11" x14ac:dyDescent="0.3">
      <c r="A91">
        <v>2015</v>
      </c>
      <c r="B91" t="s">
        <v>48</v>
      </c>
      <c r="C91" t="s">
        <v>50</v>
      </c>
      <c r="D91" t="s">
        <v>49</v>
      </c>
      <c r="E91" t="s">
        <v>628</v>
      </c>
      <c r="F91" t="s">
        <v>783</v>
      </c>
      <c r="G91" t="s">
        <v>1161</v>
      </c>
      <c r="H91">
        <v>175.98</v>
      </c>
      <c r="I91">
        <v>16.61</v>
      </c>
      <c r="J91" s="1">
        <v>70295.349999999991</v>
      </c>
      <c r="K91" s="1"/>
    </row>
    <row r="92" spans="1:11" x14ac:dyDescent="0.3">
      <c r="A92">
        <v>2015</v>
      </c>
      <c r="B92" t="s">
        <v>48</v>
      </c>
      <c r="C92" t="s">
        <v>91</v>
      </c>
      <c r="D92" t="s">
        <v>90</v>
      </c>
      <c r="E92" t="s">
        <v>629</v>
      </c>
      <c r="F92" t="s">
        <v>784</v>
      </c>
      <c r="G92" t="s">
        <v>1161</v>
      </c>
      <c r="H92">
        <v>150.9</v>
      </c>
      <c r="I92">
        <v>15.16</v>
      </c>
      <c r="J92" s="1">
        <v>60611.9</v>
      </c>
      <c r="K92" s="1"/>
    </row>
    <row r="93" spans="1:11" x14ac:dyDescent="0.3">
      <c r="A93">
        <v>2015</v>
      </c>
      <c r="B93" t="s">
        <v>48</v>
      </c>
      <c r="C93" t="s">
        <v>60</v>
      </c>
      <c r="D93" t="s">
        <v>59</v>
      </c>
      <c r="E93" t="s">
        <v>630</v>
      </c>
      <c r="F93" t="s">
        <v>785</v>
      </c>
      <c r="G93" t="s">
        <v>1161</v>
      </c>
      <c r="H93">
        <v>199.45</v>
      </c>
      <c r="I93">
        <v>19.73</v>
      </c>
      <c r="J93" s="1">
        <v>80000.7</v>
      </c>
      <c r="K93" s="1"/>
    </row>
    <row r="94" spans="1:11" x14ac:dyDescent="0.3">
      <c r="A94">
        <v>2015</v>
      </c>
      <c r="B94" t="s">
        <v>48</v>
      </c>
      <c r="C94" t="s">
        <v>120</v>
      </c>
      <c r="D94" t="s">
        <v>119</v>
      </c>
      <c r="E94" t="s">
        <v>632</v>
      </c>
      <c r="F94" t="s">
        <v>792</v>
      </c>
      <c r="G94" t="s">
        <v>1161</v>
      </c>
      <c r="H94">
        <v>247.54</v>
      </c>
      <c r="I94">
        <v>17.62</v>
      </c>
      <c r="J94" s="1">
        <v>96783.4</v>
      </c>
      <c r="K94" s="1"/>
    </row>
    <row r="95" spans="1:11" x14ac:dyDescent="0.3">
      <c r="A95">
        <v>2015</v>
      </c>
      <c r="B95" t="s">
        <v>48</v>
      </c>
      <c r="C95" t="s">
        <v>382</v>
      </c>
      <c r="D95" t="s">
        <v>381</v>
      </c>
      <c r="E95" t="s">
        <v>633</v>
      </c>
      <c r="F95" t="s">
        <v>793</v>
      </c>
      <c r="G95" t="s">
        <v>1161</v>
      </c>
      <c r="H95">
        <v>194</v>
      </c>
      <c r="I95">
        <v>16.2</v>
      </c>
      <c r="J95" s="1">
        <v>76723</v>
      </c>
      <c r="K95" s="1"/>
    </row>
    <row r="96" spans="1:11" x14ac:dyDescent="0.3">
      <c r="A96">
        <v>2015</v>
      </c>
      <c r="B96" t="s">
        <v>48</v>
      </c>
      <c r="C96" t="s">
        <v>161</v>
      </c>
      <c r="D96" t="s">
        <v>160</v>
      </c>
      <c r="E96" t="s">
        <v>634</v>
      </c>
      <c r="F96" t="s">
        <v>794</v>
      </c>
      <c r="G96" t="s">
        <v>1161</v>
      </c>
      <c r="H96">
        <v>276.08</v>
      </c>
      <c r="I96">
        <v>20.79</v>
      </c>
      <c r="J96" s="1">
        <v>108357.55</v>
      </c>
      <c r="K96" s="1"/>
    </row>
    <row r="97" spans="1:13" x14ac:dyDescent="0.3">
      <c r="A97">
        <v>2015</v>
      </c>
      <c r="B97" t="s">
        <v>48</v>
      </c>
      <c r="C97" t="s">
        <v>199</v>
      </c>
      <c r="D97" t="s">
        <v>198</v>
      </c>
      <c r="E97" t="s">
        <v>636</v>
      </c>
      <c r="F97" t="s">
        <v>801</v>
      </c>
      <c r="G97" t="s">
        <v>1161</v>
      </c>
      <c r="H97">
        <v>209.27</v>
      </c>
      <c r="I97">
        <v>22.18</v>
      </c>
      <c r="J97" s="1">
        <v>84479.25</v>
      </c>
      <c r="K97" s="1"/>
    </row>
    <row r="98" spans="1:13" x14ac:dyDescent="0.3">
      <c r="A98">
        <v>2015</v>
      </c>
      <c r="B98" t="s">
        <v>48</v>
      </c>
      <c r="C98" t="s">
        <v>122</v>
      </c>
      <c r="D98" t="s">
        <v>121</v>
      </c>
      <c r="E98" t="s">
        <v>637</v>
      </c>
      <c r="F98" t="s">
        <v>802</v>
      </c>
      <c r="G98" t="s">
        <v>1161</v>
      </c>
      <c r="H98">
        <v>183.26</v>
      </c>
      <c r="I98">
        <v>19.860000000000003</v>
      </c>
      <c r="J98" s="1">
        <v>74138.8</v>
      </c>
      <c r="K98" s="1"/>
    </row>
    <row r="99" spans="1:13" x14ac:dyDescent="0.3">
      <c r="A99">
        <v>2015</v>
      </c>
      <c r="B99" t="s">
        <v>48</v>
      </c>
      <c r="C99" t="s">
        <v>111</v>
      </c>
      <c r="D99" t="s">
        <v>110</v>
      </c>
      <c r="E99" t="s">
        <v>638</v>
      </c>
      <c r="F99" t="s">
        <v>803</v>
      </c>
      <c r="G99" t="s">
        <v>1161</v>
      </c>
      <c r="H99">
        <v>231.81</v>
      </c>
      <c r="I99">
        <v>25.35</v>
      </c>
      <c r="J99" s="1">
        <v>93863.400000000009</v>
      </c>
      <c r="K99" s="1"/>
    </row>
    <row r="100" spans="1:13" x14ac:dyDescent="0.3">
      <c r="A100">
        <v>2015</v>
      </c>
      <c r="B100" t="s">
        <v>48</v>
      </c>
      <c r="C100" t="s">
        <v>132</v>
      </c>
      <c r="D100" t="s">
        <v>131</v>
      </c>
      <c r="E100" t="s">
        <v>639</v>
      </c>
      <c r="F100" t="s">
        <v>744</v>
      </c>
      <c r="G100" t="s">
        <v>1161</v>
      </c>
      <c r="H100">
        <v>140.71</v>
      </c>
      <c r="I100">
        <v>16.690000000000001</v>
      </c>
      <c r="J100" s="1">
        <v>57451</v>
      </c>
      <c r="K100" s="1"/>
    </row>
    <row r="101" spans="1:13" x14ac:dyDescent="0.3">
      <c r="A101">
        <v>2015</v>
      </c>
      <c r="B101" t="s">
        <v>48</v>
      </c>
      <c r="C101" t="s">
        <v>388</v>
      </c>
      <c r="D101" t="s">
        <v>387</v>
      </c>
      <c r="E101" t="s">
        <v>640</v>
      </c>
      <c r="F101" t="s">
        <v>747</v>
      </c>
      <c r="G101" t="s">
        <v>1161</v>
      </c>
      <c r="H101">
        <v>181.3</v>
      </c>
      <c r="I101">
        <v>16.690000000000001</v>
      </c>
      <c r="J101" s="1">
        <v>72266.350000000006</v>
      </c>
      <c r="K101" s="1"/>
    </row>
    <row r="102" spans="1:13" x14ac:dyDescent="0.3">
      <c r="A102">
        <v>2015</v>
      </c>
      <c r="B102" t="s">
        <v>48</v>
      </c>
      <c r="C102" t="s">
        <v>145</v>
      </c>
      <c r="D102" t="s">
        <v>144</v>
      </c>
      <c r="E102" t="s">
        <v>641</v>
      </c>
      <c r="F102" t="s">
        <v>749</v>
      </c>
      <c r="G102" t="s">
        <v>1161</v>
      </c>
      <c r="H102">
        <v>223.71</v>
      </c>
      <c r="I102">
        <v>22.66</v>
      </c>
      <c r="J102" s="1">
        <v>89925.05</v>
      </c>
      <c r="K102" s="1"/>
    </row>
    <row r="103" spans="1:13" x14ac:dyDescent="0.3">
      <c r="A103">
        <v>2015</v>
      </c>
      <c r="B103" t="s">
        <v>48</v>
      </c>
      <c r="C103" t="s">
        <v>333</v>
      </c>
      <c r="D103" t="s">
        <v>332</v>
      </c>
      <c r="E103" t="s">
        <v>642</v>
      </c>
      <c r="F103" t="s">
        <v>751</v>
      </c>
      <c r="G103" t="s">
        <v>1161</v>
      </c>
      <c r="H103">
        <v>263.13</v>
      </c>
      <c r="I103">
        <v>22.66</v>
      </c>
      <c r="J103" s="1">
        <v>104313.35</v>
      </c>
      <c r="K103" s="1"/>
    </row>
    <row r="104" spans="1:13" x14ac:dyDescent="0.3">
      <c r="A104">
        <v>2015</v>
      </c>
      <c r="B104" t="s">
        <v>48</v>
      </c>
      <c r="C104" t="s">
        <v>354</v>
      </c>
      <c r="D104" t="s">
        <v>353</v>
      </c>
      <c r="E104" t="s">
        <v>643</v>
      </c>
      <c r="F104" t="s">
        <v>753</v>
      </c>
      <c r="G104" t="s">
        <v>1161</v>
      </c>
      <c r="H104">
        <v>261.93</v>
      </c>
      <c r="I104">
        <v>22.66</v>
      </c>
      <c r="J104" s="1">
        <v>103875.35</v>
      </c>
      <c r="K104" s="1"/>
    </row>
    <row r="105" spans="1:13" x14ac:dyDescent="0.3">
      <c r="A105">
        <v>2015</v>
      </c>
      <c r="B105" t="s">
        <v>48</v>
      </c>
      <c r="C105" t="s">
        <v>564</v>
      </c>
      <c r="D105" t="s">
        <v>563</v>
      </c>
      <c r="E105" t="s">
        <v>644</v>
      </c>
      <c r="F105" t="s">
        <v>755</v>
      </c>
      <c r="G105" t="s">
        <v>1161</v>
      </c>
      <c r="H105">
        <v>340.98</v>
      </c>
      <c r="I105">
        <v>23.72</v>
      </c>
      <c r="J105" s="1">
        <v>133115.50000000003</v>
      </c>
      <c r="K105" s="1"/>
    </row>
    <row r="106" spans="1:13" x14ac:dyDescent="0.3">
      <c r="A106">
        <v>2015</v>
      </c>
      <c r="B106" t="s">
        <v>48</v>
      </c>
      <c r="C106" t="s">
        <v>133</v>
      </c>
      <c r="D106" t="s">
        <v>808</v>
      </c>
      <c r="E106" t="s">
        <v>809</v>
      </c>
      <c r="F106" t="s">
        <v>810</v>
      </c>
      <c r="G106" t="s">
        <v>1161</v>
      </c>
      <c r="H106">
        <v>89.48</v>
      </c>
      <c r="I106">
        <v>12.4</v>
      </c>
      <c r="J106" s="1">
        <v>37186.200000000004</v>
      </c>
      <c r="K106" s="1">
        <f>J107-J106</f>
        <v>17512.69999999999</v>
      </c>
      <c r="L106" s="40"/>
      <c r="M106" s="40"/>
    </row>
    <row r="107" spans="1:13" x14ac:dyDescent="0.3">
      <c r="A107">
        <v>2015</v>
      </c>
      <c r="B107" t="s">
        <v>48</v>
      </c>
      <c r="C107" t="s">
        <v>207</v>
      </c>
      <c r="D107" t="s">
        <v>811</v>
      </c>
      <c r="E107" t="s">
        <v>812</v>
      </c>
      <c r="F107" t="s">
        <v>813</v>
      </c>
      <c r="G107" t="s">
        <v>1161</v>
      </c>
      <c r="H107">
        <v>133.26</v>
      </c>
      <c r="I107">
        <v>16.600000000000001</v>
      </c>
      <c r="J107" s="1">
        <v>54698.899999999994</v>
      </c>
      <c r="K107" s="1"/>
    </row>
    <row r="108" spans="1:13" x14ac:dyDescent="0.3">
      <c r="A108">
        <v>2015</v>
      </c>
      <c r="B108" t="s">
        <v>48</v>
      </c>
      <c r="C108" t="s">
        <v>338</v>
      </c>
      <c r="D108" t="s">
        <v>820</v>
      </c>
      <c r="E108" t="s">
        <v>821</v>
      </c>
      <c r="F108" t="s">
        <v>822</v>
      </c>
      <c r="G108" t="s">
        <v>1161</v>
      </c>
      <c r="H108">
        <v>118.87</v>
      </c>
      <c r="I108">
        <v>12.4</v>
      </c>
      <c r="J108" s="1">
        <v>47913.55</v>
      </c>
      <c r="K108" s="1">
        <f>J109-J108</f>
        <v>16085.549999999996</v>
      </c>
    </row>
    <row r="109" spans="1:13" x14ac:dyDescent="0.3">
      <c r="A109">
        <v>2015</v>
      </c>
      <c r="B109" t="s">
        <v>48</v>
      </c>
      <c r="C109" t="s">
        <v>116</v>
      </c>
      <c r="D109" t="s">
        <v>823</v>
      </c>
      <c r="E109" t="s">
        <v>824</v>
      </c>
      <c r="F109" t="s">
        <v>825</v>
      </c>
      <c r="G109" t="s">
        <v>1161</v>
      </c>
      <c r="H109">
        <v>158.74</v>
      </c>
      <c r="I109">
        <v>16.600000000000001</v>
      </c>
      <c r="J109" s="1">
        <v>63999.1</v>
      </c>
      <c r="K109" s="1"/>
    </row>
    <row r="110" spans="1:13" x14ac:dyDescent="0.3">
      <c r="A110">
        <v>2015</v>
      </c>
      <c r="B110" t="s">
        <v>48</v>
      </c>
      <c r="C110" t="s">
        <v>159</v>
      </c>
      <c r="D110" t="s">
        <v>835</v>
      </c>
      <c r="E110" t="s">
        <v>836</v>
      </c>
      <c r="F110" t="s">
        <v>837</v>
      </c>
      <c r="G110" t="s">
        <v>1161</v>
      </c>
      <c r="H110">
        <v>147.96</v>
      </c>
      <c r="I110">
        <v>16.600000000000001</v>
      </c>
      <c r="J110" s="1">
        <v>60064.4</v>
      </c>
      <c r="K110" s="1"/>
    </row>
    <row r="111" spans="1:13" x14ac:dyDescent="0.3">
      <c r="A111">
        <v>2015</v>
      </c>
      <c r="B111" t="s">
        <v>48</v>
      </c>
      <c r="C111" t="s">
        <v>331</v>
      </c>
      <c r="D111" t="s">
        <v>838</v>
      </c>
      <c r="E111" t="s">
        <v>839</v>
      </c>
      <c r="F111" t="s">
        <v>840</v>
      </c>
      <c r="G111" t="s">
        <v>1161</v>
      </c>
      <c r="H111">
        <v>135.22</v>
      </c>
      <c r="I111">
        <v>13.040000000000001</v>
      </c>
      <c r="J111" s="1">
        <v>54114.899999999994</v>
      </c>
      <c r="K111" s="1"/>
    </row>
    <row r="112" spans="1:13" x14ac:dyDescent="0.3">
      <c r="A112">
        <v>2015</v>
      </c>
      <c r="B112" t="s">
        <v>48</v>
      </c>
      <c r="C112" t="s">
        <v>140</v>
      </c>
      <c r="D112" t="s">
        <v>841</v>
      </c>
      <c r="E112" t="s">
        <v>842</v>
      </c>
      <c r="F112" t="s">
        <v>843</v>
      </c>
      <c r="G112" t="s">
        <v>1161</v>
      </c>
      <c r="H112">
        <v>179.02</v>
      </c>
      <c r="I112">
        <v>17.25</v>
      </c>
      <c r="J112" s="1">
        <v>71638.55</v>
      </c>
      <c r="K112" s="1"/>
    </row>
    <row r="113" spans="1:11" x14ac:dyDescent="0.3">
      <c r="A113">
        <v>2015</v>
      </c>
      <c r="B113" t="s">
        <v>48</v>
      </c>
      <c r="C113" t="s">
        <v>100</v>
      </c>
      <c r="D113" t="s">
        <v>859</v>
      </c>
      <c r="E113" t="s">
        <v>860</v>
      </c>
      <c r="F113" t="s">
        <v>861</v>
      </c>
      <c r="G113" t="s">
        <v>1161</v>
      </c>
      <c r="H113">
        <v>160.6</v>
      </c>
      <c r="I113">
        <v>16.600000000000001</v>
      </c>
      <c r="J113" s="1">
        <v>64677.999999999993</v>
      </c>
      <c r="K113" s="1"/>
    </row>
    <row r="114" spans="1:11" x14ac:dyDescent="0.3">
      <c r="A114">
        <v>2015</v>
      </c>
      <c r="B114" t="s">
        <v>48</v>
      </c>
      <c r="C114" t="s">
        <v>118</v>
      </c>
      <c r="D114" t="s">
        <v>862</v>
      </c>
      <c r="E114" t="s">
        <v>863</v>
      </c>
      <c r="F114" t="s">
        <v>864</v>
      </c>
      <c r="G114" t="s">
        <v>1161</v>
      </c>
      <c r="H114">
        <v>152.31</v>
      </c>
      <c r="I114">
        <v>13.040000000000001</v>
      </c>
      <c r="J114" s="1">
        <v>60352.75</v>
      </c>
      <c r="K114" s="1"/>
    </row>
    <row r="115" spans="1:11" x14ac:dyDescent="0.3">
      <c r="A115">
        <v>2015</v>
      </c>
      <c r="B115" t="s">
        <v>48</v>
      </c>
      <c r="C115" t="s">
        <v>316</v>
      </c>
      <c r="D115" t="s">
        <v>865</v>
      </c>
      <c r="E115" t="s">
        <v>866</v>
      </c>
      <c r="F115" t="s">
        <v>867</v>
      </c>
      <c r="G115" t="s">
        <v>1161</v>
      </c>
      <c r="H115">
        <v>192.17</v>
      </c>
      <c r="I115">
        <v>17.25</v>
      </c>
      <c r="J115" s="1">
        <v>76438.299999999988</v>
      </c>
      <c r="K115" s="1"/>
    </row>
    <row r="116" spans="1:11" x14ac:dyDescent="0.3">
      <c r="A116">
        <v>2015</v>
      </c>
      <c r="B116" t="s">
        <v>48</v>
      </c>
      <c r="C116" t="s">
        <v>152</v>
      </c>
      <c r="D116" t="s">
        <v>884</v>
      </c>
      <c r="E116" t="s">
        <v>885</v>
      </c>
      <c r="F116" t="s">
        <v>886</v>
      </c>
      <c r="G116" t="s">
        <v>1161</v>
      </c>
      <c r="H116">
        <v>186.85</v>
      </c>
      <c r="I116">
        <v>18.510000000000002</v>
      </c>
      <c r="J116" s="1">
        <v>74956.399999999994</v>
      </c>
      <c r="K116" s="1"/>
    </row>
    <row r="117" spans="1:11" x14ac:dyDescent="0.3">
      <c r="A117">
        <v>2015</v>
      </c>
      <c r="B117" t="s">
        <v>48</v>
      </c>
      <c r="C117" t="s">
        <v>357</v>
      </c>
      <c r="D117" t="s">
        <v>887</v>
      </c>
      <c r="E117" t="s">
        <v>888</v>
      </c>
      <c r="F117" t="s">
        <v>889</v>
      </c>
      <c r="G117" t="s">
        <v>1161</v>
      </c>
      <c r="H117">
        <v>179.5</v>
      </c>
      <c r="I117">
        <v>17.09</v>
      </c>
      <c r="J117" s="1">
        <v>71755.350000000006</v>
      </c>
      <c r="K117" s="1"/>
    </row>
    <row r="118" spans="1:11" x14ac:dyDescent="0.3">
      <c r="A118">
        <v>2015</v>
      </c>
      <c r="B118" t="s">
        <v>48</v>
      </c>
      <c r="C118" t="s">
        <v>84</v>
      </c>
      <c r="D118" t="s">
        <v>890</v>
      </c>
      <c r="E118" t="s">
        <v>891</v>
      </c>
      <c r="F118" t="s">
        <v>892</v>
      </c>
      <c r="G118" t="s">
        <v>1161</v>
      </c>
      <c r="H118">
        <v>223.28</v>
      </c>
      <c r="I118">
        <v>21.68</v>
      </c>
      <c r="J118" s="1">
        <v>89410.400000000009</v>
      </c>
      <c r="K118" s="1"/>
    </row>
    <row r="119" spans="1:11" x14ac:dyDescent="0.3">
      <c r="A119">
        <v>2015</v>
      </c>
      <c r="B119" t="s">
        <v>48</v>
      </c>
      <c r="C119" t="s">
        <v>51</v>
      </c>
      <c r="D119" t="s">
        <v>909</v>
      </c>
      <c r="E119" t="s">
        <v>910</v>
      </c>
      <c r="F119" t="s">
        <v>911</v>
      </c>
      <c r="G119" t="s">
        <v>1161</v>
      </c>
      <c r="H119">
        <v>197.04</v>
      </c>
      <c r="I119">
        <v>21.82</v>
      </c>
      <c r="J119" s="1">
        <v>79883.899999999994</v>
      </c>
      <c r="K119" s="1"/>
    </row>
    <row r="120" spans="1:11" x14ac:dyDescent="0.3">
      <c r="A120">
        <v>2015</v>
      </c>
      <c r="B120" t="s">
        <v>48</v>
      </c>
      <c r="C120" t="s">
        <v>358</v>
      </c>
      <c r="D120" t="s">
        <v>912</v>
      </c>
      <c r="E120" t="s">
        <v>913</v>
      </c>
      <c r="F120" t="s">
        <v>914</v>
      </c>
      <c r="G120" t="s">
        <v>1161</v>
      </c>
      <c r="H120">
        <v>198.83</v>
      </c>
      <c r="I120">
        <v>19.510000000000002</v>
      </c>
      <c r="J120" s="1">
        <v>79694.100000000006</v>
      </c>
      <c r="K120" s="1"/>
    </row>
    <row r="121" spans="1:11" x14ac:dyDescent="0.3">
      <c r="A121">
        <v>2015</v>
      </c>
      <c r="B121" t="s">
        <v>48</v>
      </c>
      <c r="C121" t="s">
        <v>139</v>
      </c>
      <c r="D121" t="s">
        <v>915</v>
      </c>
      <c r="E121" t="s">
        <v>916</v>
      </c>
      <c r="F121" t="s">
        <v>917</v>
      </c>
      <c r="G121" t="s">
        <v>1161</v>
      </c>
      <c r="H121">
        <v>238.67</v>
      </c>
      <c r="I121">
        <v>24.99</v>
      </c>
      <c r="J121" s="1">
        <v>96235.9</v>
      </c>
      <c r="K121" s="1"/>
    </row>
    <row r="122" spans="1:11" x14ac:dyDescent="0.3">
      <c r="A122">
        <v>2015</v>
      </c>
      <c r="B122" t="s">
        <v>48</v>
      </c>
      <c r="C122" t="s">
        <v>211</v>
      </c>
      <c r="D122" t="s">
        <v>934</v>
      </c>
      <c r="E122" t="s">
        <v>935</v>
      </c>
      <c r="F122" t="s">
        <v>936</v>
      </c>
      <c r="G122" t="s">
        <v>1161</v>
      </c>
      <c r="H122">
        <v>209.11</v>
      </c>
      <c r="I122">
        <v>21.82</v>
      </c>
      <c r="J122" s="1">
        <v>84289.45</v>
      </c>
      <c r="K122" s="1"/>
    </row>
    <row r="123" spans="1:11" x14ac:dyDescent="0.3">
      <c r="A123">
        <v>2015</v>
      </c>
      <c r="B123" t="s">
        <v>48</v>
      </c>
      <c r="C123" t="s">
        <v>238</v>
      </c>
      <c r="D123" t="s">
        <v>937</v>
      </c>
      <c r="E123" t="s">
        <v>938</v>
      </c>
      <c r="F123" t="s">
        <v>939</v>
      </c>
      <c r="G123" t="s">
        <v>1161</v>
      </c>
      <c r="H123">
        <v>213.85</v>
      </c>
      <c r="I123">
        <v>19.510000000000002</v>
      </c>
      <c r="J123" s="1">
        <v>85176.4</v>
      </c>
      <c r="K123" s="1"/>
    </row>
    <row r="124" spans="1:11" x14ac:dyDescent="0.3">
      <c r="A124">
        <v>2015</v>
      </c>
      <c r="B124" t="s">
        <v>48</v>
      </c>
      <c r="C124" t="s">
        <v>347</v>
      </c>
      <c r="D124" t="s">
        <v>940</v>
      </c>
      <c r="E124" t="s">
        <v>941</v>
      </c>
      <c r="F124" t="s">
        <v>942</v>
      </c>
      <c r="G124" t="s">
        <v>1161</v>
      </c>
      <c r="H124">
        <v>247.3</v>
      </c>
      <c r="I124">
        <v>24.99</v>
      </c>
      <c r="J124" s="1">
        <v>99385.85</v>
      </c>
      <c r="K124" s="1"/>
    </row>
    <row r="125" spans="1:11" x14ac:dyDescent="0.3">
      <c r="A125">
        <v>2015</v>
      </c>
      <c r="B125" t="s">
        <v>48</v>
      </c>
      <c r="C125" t="s">
        <v>55</v>
      </c>
      <c r="D125" t="s">
        <v>958</v>
      </c>
      <c r="E125" t="s">
        <v>959</v>
      </c>
      <c r="F125" t="s">
        <v>960</v>
      </c>
      <c r="G125" t="s">
        <v>1161</v>
      </c>
      <c r="H125">
        <v>155.56</v>
      </c>
      <c r="I125">
        <v>17.95</v>
      </c>
      <c r="J125" s="1">
        <v>63331.149999999994</v>
      </c>
      <c r="K125" s="1"/>
    </row>
    <row r="126" spans="1:11" x14ac:dyDescent="0.3">
      <c r="A126">
        <v>2015</v>
      </c>
      <c r="B126" t="s">
        <v>48</v>
      </c>
      <c r="C126" t="s">
        <v>369</v>
      </c>
      <c r="D126" t="s">
        <v>961</v>
      </c>
      <c r="E126" t="s">
        <v>962</v>
      </c>
      <c r="F126" t="s">
        <v>963</v>
      </c>
      <c r="G126" t="s">
        <v>1161</v>
      </c>
      <c r="H126">
        <v>124.12</v>
      </c>
      <c r="I126">
        <v>15.040000000000001</v>
      </c>
      <c r="J126" s="1">
        <v>50793.4</v>
      </c>
      <c r="K126" s="1"/>
    </row>
    <row r="127" spans="1:11" x14ac:dyDescent="0.3">
      <c r="A127">
        <v>2015</v>
      </c>
      <c r="B127" t="s">
        <v>48</v>
      </c>
      <c r="C127" t="s">
        <v>359</v>
      </c>
      <c r="D127" t="s">
        <v>964</v>
      </c>
      <c r="E127" t="s">
        <v>965</v>
      </c>
      <c r="F127" t="s">
        <v>966</v>
      </c>
      <c r="G127" t="s">
        <v>1161</v>
      </c>
      <c r="H127">
        <v>173.52</v>
      </c>
      <c r="I127">
        <v>19.149999999999999</v>
      </c>
      <c r="J127" s="1">
        <v>70324.55</v>
      </c>
      <c r="K127" s="1"/>
    </row>
    <row r="128" spans="1:11" x14ac:dyDescent="0.3">
      <c r="A128">
        <v>2015</v>
      </c>
      <c r="B128" t="s">
        <v>48</v>
      </c>
      <c r="C128" t="s">
        <v>171</v>
      </c>
      <c r="D128" t="s">
        <v>982</v>
      </c>
      <c r="E128" t="s">
        <v>983</v>
      </c>
      <c r="F128" t="s">
        <v>984</v>
      </c>
      <c r="G128" t="s">
        <v>1161</v>
      </c>
      <c r="H128">
        <v>272.05</v>
      </c>
      <c r="I128">
        <v>17.95</v>
      </c>
      <c r="J128" s="1">
        <v>105850</v>
      </c>
      <c r="K128" s="1"/>
    </row>
    <row r="129" spans="1:11" x14ac:dyDescent="0.3">
      <c r="A129">
        <v>2015</v>
      </c>
      <c r="B129" t="s">
        <v>48</v>
      </c>
      <c r="C129" t="s">
        <v>296</v>
      </c>
      <c r="D129" t="s">
        <v>985</v>
      </c>
      <c r="E129" t="s">
        <v>986</v>
      </c>
      <c r="F129" t="s">
        <v>987</v>
      </c>
      <c r="G129" t="s">
        <v>1161</v>
      </c>
      <c r="H129">
        <v>237.96</v>
      </c>
      <c r="I129">
        <v>15.040000000000001</v>
      </c>
      <c r="J129" s="1">
        <v>92345</v>
      </c>
      <c r="K129" s="1"/>
    </row>
    <row r="130" spans="1:11" x14ac:dyDescent="0.3">
      <c r="A130">
        <v>2015</v>
      </c>
      <c r="B130" t="s">
        <v>48</v>
      </c>
      <c r="C130" t="s">
        <v>52</v>
      </c>
      <c r="D130" t="s">
        <v>988</v>
      </c>
      <c r="E130" t="s">
        <v>989</v>
      </c>
      <c r="F130" t="s">
        <v>990</v>
      </c>
      <c r="G130" t="s">
        <v>1161</v>
      </c>
      <c r="H130">
        <v>301.29000000000002</v>
      </c>
      <c r="I130">
        <v>19.149999999999999</v>
      </c>
      <c r="J130" s="1">
        <v>116960.6</v>
      </c>
      <c r="K130" s="1"/>
    </row>
    <row r="131" spans="1:11" x14ac:dyDescent="0.3">
      <c r="A131">
        <v>2015</v>
      </c>
      <c r="B131" t="s">
        <v>48</v>
      </c>
      <c r="C131" t="s">
        <v>56</v>
      </c>
      <c r="D131" t="s">
        <v>1006</v>
      </c>
      <c r="E131" t="s">
        <v>1007</v>
      </c>
      <c r="F131" t="s">
        <v>1008</v>
      </c>
      <c r="G131" t="s">
        <v>1161</v>
      </c>
      <c r="H131">
        <v>316.20999999999998</v>
      </c>
      <c r="I131">
        <v>17.900000000000002</v>
      </c>
      <c r="J131" s="1">
        <v>121950.14999999998</v>
      </c>
      <c r="K131" s="1"/>
    </row>
    <row r="132" spans="1:11" x14ac:dyDescent="0.3">
      <c r="A132">
        <v>2015</v>
      </c>
      <c r="B132" t="s">
        <v>48</v>
      </c>
      <c r="C132" t="s">
        <v>311</v>
      </c>
      <c r="D132" t="s">
        <v>1009</v>
      </c>
      <c r="E132" t="s">
        <v>1010</v>
      </c>
      <c r="F132" t="s">
        <v>1011</v>
      </c>
      <c r="G132" t="s">
        <v>1161</v>
      </c>
      <c r="H132">
        <v>272.82</v>
      </c>
      <c r="I132">
        <v>16.27</v>
      </c>
      <c r="J132" s="1">
        <v>105517.84999999999</v>
      </c>
      <c r="K132" s="1"/>
    </row>
    <row r="133" spans="1:11" x14ac:dyDescent="0.3">
      <c r="A133">
        <v>2015</v>
      </c>
      <c r="B133" t="s">
        <v>48</v>
      </c>
      <c r="C133" t="s">
        <v>303</v>
      </c>
      <c r="D133" t="s">
        <v>1012</v>
      </c>
      <c r="E133" t="s">
        <v>1013</v>
      </c>
      <c r="F133" t="s">
        <v>1014</v>
      </c>
      <c r="G133" t="s">
        <v>1161</v>
      </c>
      <c r="H133">
        <v>345.44</v>
      </c>
      <c r="I133">
        <v>21.04</v>
      </c>
      <c r="J133" s="1">
        <v>133765.20000000001</v>
      </c>
      <c r="K133" s="1"/>
    </row>
    <row r="134" spans="1:11" x14ac:dyDescent="0.3">
      <c r="A134">
        <v>2015</v>
      </c>
      <c r="B134" t="s">
        <v>48</v>
      </c>
      <c r="C134" t="s">
        <v>330</v>
      </c>
      <c r="D134" t="s">
        <v>1030</v>
      </c>
      <c r="E134" t="s">
        <v>1031</v>
      </c>
      <c r="F134" t="s">
        <v>1032</v>
      </c>
      <c r="G134" t="s">
        <v>1161</v>
      </c>
      <c r="H134">
        <v>205.36</v>
      </c>
      <c r="I134">
        <v>17.95</v>
      </c>
      <c r="J134" s="1">
        <v>81508.149999999994</v>
      </c>
      <c r="K134" s="1"/>
    </row>
    <row r="135" spans="1:11" x14ac:dyDescent="0.3">
      <c r="A135">
        <v>2015</v>
      </c>
      <c r="B135" t="s">
        <v>48</v>
      </c>
      <c r="C135" t="s">
        <v>348</v>
      </c>
      <c r="D135" t="s">
        <v>1033</v>
      </c>
      <c r="E135" t="s">
        <v>1034</v>
      </c>
      <c r="F135" t="s">
        <v>1035</v>
      </c>
      <c r="G135" t="s">
        <v>1161</v>
      </c>
      <c r="H135">
        <v>185.2</v>
      </c>
      <c r="I135">
        <v>15.040000000000001</v>
      </c>
      <c r="J135" s="1">
        <v>73087.599999999991</v>
      </c>
      <c r="K135" s="1"/>
    </row>
    <row r="136" spans="1:11" x14ac:dyDescent="0.3">
      <c r="A136">
        <v>2015</v>
      </c>
      <c r="B136" t="s">
        <v>48</v>
      </c>
      <c r="C136" t="s">
        <v>71</v>
      </c>
      <c r="D136" t="s">
        <v>1036</v>
      </c>
      <c r="E136" t="s">
        <v>1037</v>
      </c>
      <c r="F136" t="s">
        <v>1038</v>
      </c>
      <c r="G136" t="s">
        <v>1161</v>
      </c>
      <c r="H136">
        <v>234.59</v>
      </c>
      <c r="I136">
        <v>19.149999999999999</v>
      </c>
      <c r="J136" s="1">
        <v>92615.1</v>
      </c>
      <c r="K136" s="1"/>
    </row>
    <row r="137" spans="1:11" x14ac:dyDescent="0.3">
      <c r="A137">
        <v>2015</v>
      </c>
      <c r="B137" t="s">
        <v>48</v>
      </c>
      <c r="C137" t="s">
        <v>117</v>
      </c>
      <c r="D137" t="s">
        <v>1051</v>
      </c>
      <c r="E137" t="s">
        <v>1052</v>
      </c>
      <c r="F137" t="s">
        <v>1053</v>
      </c>
      <c r="G137" t="s">
        <v>1161</v>
      </c>
      <c r="H137">
        <v>70.88</v>
      </c>
      <c r="I137">
        <v>13.84</v>
      </c>
      <c r="J137" s="1">
        <v>30922.799999999999</v>
      </c>
      <c r="K137" s="1">
        <f>J138-J137</f>
        <v>16523.550000000007</v>
      </c>
    </row>
    <row r="138" spans="1:11" x14ac:dyDescent="0.3">
      <c r="A138">
        <v>2015</v>
      </c>
      <c r="B138" t="s">
        <v>48</v>
      </c>
      <c r="C138" t="s">
        <v>293</v>
      </c>
      <c r="D138" t="s">
        <v>1054</v>
      </c>
      <c r="E138" t="s">
        <v>1055</v>
      </c>
      <c r="F138" t="s">
        <v>1056</v>
      </c>
      <c r="G138" t="s">
        <v>1161</v>
      </c>
      <c r="H138">
        <v>112.04</v>
      </c>
      <c r="I138">
        <v>17.95</v>
      </c>
      <c r="J138" s="1">
        <v>47446.350000000006</v>
      </c>
      <c r="K138" s="1"/>
    </row>
    <row r="139" spans="1:11" x14ac:dyDescent="0.3">
      <c r="A139">
        <v>2015</v>
      </c>
      <c r="B139" t="s">
        <v>48</v>
      </c>
      <c r="C139" t="s">
        <v>96</v>
      </c>
      <c r="D139" t="s">
        <v>1063</v>
      </c>
      <c r="E139" t="s">
        <v>1064</v>
      </c>
      <c r="F139" t="s">
        <v>1065</v>
      </c>
      <c r="G139" t="s">
        <v>1161</v>
      </c>
      <c r="H139">
        <v>105.68</v>
      </c>
      <c r="I139">
        <v>13.84</v>
      </c>
      <c r="J139" s="1">
        <v>43624.800000000003</v>
      </c>
      <c r="K139" s="1">
        <f>J140-J139</f>
        <v>14023.299999999996</v>
      </c>
    </row>
    <row r="140" spans="1:11" x14ac:dyDescent="0.3">
      <c r="A140">
        <v>2015</v>
      </c>
      <c r="B140" t="s">
        <v>48</v>
      </c>
      <c r="C140" t="s">
        <v>87</v>
      </c>
      <c r="D140" t="s">
        <v>1066</v>
      </c>
      <c r="E140" t="s">
        <v>1067</v>
      </c>
      <c r="F140" t="s">
        <v>1068</v>
      </c>
      <c r="G140" t="s">
        <v>1161</v>
      </c>
      <c r="H140">
        <v>139.99</v>
      </c>
      <c r="I140">
        <v>17.95</v>
      </c>
      <c r="J140" s="1">
        <v>57648.1</v>
      </c>
      <c r="K140" s="1"/>
    </row>
    <row r="141" spans="1:11" x14ac:dyDescent="0.3">
      <c r="A141">
        <v>2015</v>
      </c>
      <c r="B141" t="s">
        <v>48</v>
      </c>
      <c r="C141" t="s">
        <v>172</v>
      </c>
      <c r="D141" t="s">
        <v>1078</v>
      </c>
      <c r="E141" t="s">
        <v>1079</v>
      </c>
      <c r="F141" t="s">
        <v>1080</v>
      </c>
      <c r="G141" t="s">
        <v>1161</v>
      </c>
      <c r="H141">
        <v>163.82</v>
      </c>
      <c r="I141">
        <v>17.95</v>
      </c>
      <c r="J141" s="1">
        <v>66346.049999999988</v>
      </c>
      <c r="K141" s="1"/>
    </row>
    <row r="142" spans="1:11" x14ac:dyDescent="0.3">
      <c r="A142">
        <v>2015</v>
      </c>
      <c r="B142" t="s">
        <v>48</v>
      </c>
      <c r="C142" t="s">
        <v>379</v>
      </c>
      <c r="D142" t="s">
        <v>1081</v>
      </c>
      <c r="E142" t="s">
        <v>1082</v>
      </c>
      <c r="F142" t="s">
        <v>1083</v>
      </c>
      <c r="G142" t="s">
        <v>1161</v>
      </c>
      <c r="H142">
        <v>149.75</v>
      </c>
      <c r="I142">
        <v>15.040000000000001</v>
      </c>
      <c r="J142" s="1">
        <v>60148.35</v>
      </c>
      <c r="K142" s="1"/>
    </row>
    <row r="143" spans="1:11" x14ac:dyDescent="0.3">
      <c r="A143">
        <v>2015</v>
      </c>
      <c r="B143" t="s">
        <v>48</v>
      </c>
      <c r="C143" t="s">
        <v>77</v>
      </c>
      <c r="D143" t="s">
        <v>1084</v>
      </c>
      <c r="E143" t="s">
        <v>1085</v>
      </c>
      <c r="F143" t="s">
        <v>1086</v>
      </c>
      <c r="G143" t="s">
        <v>1161</v>
      </c>
      <c r="H143">
        <v>184.07</v>
      </c>
      <c r="I143">
        <v>19.149999999999999</v>
      </c>
      <c r="J143" s="1">
        <v>74175.3</v>
      </c>
      <c r="K143" s="1"/>
    </row>
    <row r="144" spans="1:11" x14ac:dyDescent="0.3">
      <c r="A144">
        <v>2015</v>
      </c>
      <c r="B144" t="s">
        <v>48</v>
      </c>
      <c r="C144" t="s">
        <v>218</v>
      </c>
      <c r="D144" t="s">
        <v>1102</v>
      </c>
      <c r="E144" t="s">
        <v>1103</v>
      </c>
      <c r="F144" t="s">
        <v>1104</v>
      </c>
      <c r="G144" t="s">
        <v>1161</v>
      </c>
      <c r="H144">
        <v>210.93</v>
      </c>
      <c r="I144">
        <v>18.82</v>
      </c>
      <c r="J144" s="1">
        <v>83858.75</v>
      </c>
      <c r="K144" s="1"/>
    </row>
    <row r="145" spans="1:11" x14ac:dyDescent="0.3">
      <c r="A145">
        <v>2015</v>
      </c>
      <c r="B145" t="s">
        <v>48</v>
      </c>
      <c r="C145" t="s">
        <v>261</v>
      </c>
      <c r="D145" t="s">
        <v>1105</v>
      </c>
      <c r="E145" t="s">
        <v>1106</v>
      </c>
      <c r="F145" t="s">
        <v>1107</v>
      </c>
      <c r="G145" t="s">
        <v>1161</v>
      </c>
      <c r="H145">
        <v>188.58</v>
      </c>
      <c r="I145">
        <v>17.18</v>
      </c>
      <c r="J145" s="1">
        <v>75102.400000000009</v>
      </c>
      <c r="K145" s="1"/>
    </row>
    <row r="146" spans="1:11" x14ac:dyDescent="0.3">
      <c r="A146">
        <v>2015</v>
      </c>
      <c r="B146" t="s">
        <v>48</v>
      </c>
      <c r="C146" t="s">
        <v>208</v>
      </c>
      <c r="D146" t="s">
        <v>1108</v>
      </c>
      <c r="E146" t="s">
        <v>1109</v>
      </c>
      <c r="F146" t="s">
        <v>1110</v>
      </c>
      <c r="G146" t="s">
        <v>1161</v>
      </c>
      <c r="H146">
        <v>234.87</v>
      </c>
      <c r="I146">
        <v>21.96</v>
      </c>
      <c r="J146" s="1">
        <v>93742.95</v>
      </c>
      <c r="K146" s="1"/>
    </row>
    <row r="147" spans="1:11" x14ac:dyDescent="0.3">
      <c r="A147">
        <v>2015</v>
      </c>
      <c r="B147" t="s">
        <v>48</v>
      </c>
      <c r="C147" t="s">
        <v>189</v>
      </c>
      <c r="D147" t="s">
        <v>1126</v>
      </c>
      <c r="E147" t="s">
        <v>1127</v>
      </c>
      <c r="F147" t="s">
        <v>1128</v>
      </c>
      <c r="G147" t="s">
        <v>1161</v>
      </c>
      <c r="H147">
        <v>227.41</v>
      </c>
      <c r="I147">
        <v>22.17</v>
      </c>
      <c r="J147" s="1">
        <v>91096.7</v>
      </c>
      <c r="K147" s="1"/>
    </row>
    <row r="148" spans="1:11" x14ac:dyDescent="0.3">
      <c r="A148">
        <v>2015</v>
      </c>
      <c r="B148" t="s">
        <v>48</v>
      </c>
      <c r="C148" t="s">
        <v>85</v>
      </c>
      <c r="D148" t="s">
        <v>1129</v>
      </c>
      <c r="E148" t="s">
        <v>1130</v>
      </c>
      <c r="F148" t="s">
        <v>1131</v>
      </c>
      <c r="G148" t="s">
        <v>1161</v>
      </c>
      <c r="H148">
        <v>209.25</v>
      </c>
      <c r="I148">
        <v>19.64</v>
      </c>
      <c r="J148" s="1">
        <v>83544.849999999991</v>
      </c>
      <c r="K148" s="1"/>
    </row>
    <row r="149" spans="1:11" x14ac:dyDescent="0.3">
      <c r="A149">
        <v>2015</v>
      </c>
      <c r="B149" t="s">
        <v>48</v>
      </c>
      <c r="C149" t="s">
        <v>239</v>
      </c>
      <c r="D149" t="s">
        <v>1132</v>
      </c>
      <c r="E149" t="s">
        <v>1133</v>
      </c>
      <c r="F149" t="s">
        <v>1134</v>
      </c>
      <c r="G149" t="s">
        <v>1161</v>
      </c>
      <c r="H149">
        <v>255.53</v>
      </c>
      <c r="I149">
        <v>25.310000000000002</v>
      </c>
      <c r="J149" s="1">
        <v>102506.6</v>
      </c>
      <c r="K149" s="1"/>
    </row>
    <row r="150" spans="1:11" x14ac:dyDescent="0.3">
      <c r="A150">
        <v>2015</v>
      </c>
      <c r="B150" t="s">
        <v>47</v>
      </c>
      <c r="C150" t="s">
        <v>245</v>
      </c>
      <c r="D150" t="s">
        <v>244</v>
      </c>
      <c r="E150" t="s">
        <v>645</v>
      </c>
      <c r="F150" t="s">
        <v>1151</v>
      </c>
      <c r="G150" t="s">
        <v>47</v>
      </c>
      <c r="H150">
        <v>65.28</v>
      </c>
      <c r="J150" s="1">
        <v>23827.200000000001</v>
      </c>
      <c r="K150" s="1"/>
    </row>
    <row r="151" spans="1:11" x14ac:dyDescent="0.3">
      <c r="A151">
        <v>2015</v>
      </c>
      <c r="B151" t="s">
        <v>47</v>
      </c>
      <c r="C151" t="s">
        <v>136</v>
      </c>
      <c r="D151" t="s">
        <v>135</v>
      </c>
      <c r="E151" t="s">
        <v>646</v>
      </c>
      <c r="F151" t="s">
        <v>1152</v>
      </c>
      <c r="G151" t="s">
        <v>47</v>
      </c>
      <c r="H151">
        <v>82.93</v>
      </c>
      <c r="J151" s="1">
        <v>30269.45</v>
      </c>
      <c r="K151" s="1"/>
    </row>
    <row r="152" spans="1:11" x14ac:dyDescent="0.3">
      <c r="A152">
        <v>2015</v>
      </c>
      <c r="B152" t="s">
        <v>47</v>
      </c>
      <c r="C152" t="s">
        <v>291</v>
      </c>
      <c r="D152" t="s">
        <v>290</v>
      </c>
      <c r="E152" t="s">
        <v>648</v>
      </c>
      <c r="F152" t="s">
        <v>1154</v>
      </c>
      <c r="G152" t="s">
        <v>47</v>
      </c>
      <c r="H152">
        <v>119.61</v>
      </c>
      <c r="J152" s="1">
        <v>43657.65</v>
      </c>
      <c r="K152" s="1"/>
    </row>
    <row r="153" spans="1:11" x14ac:dyDescent="0.3">
      <c r="A153">
        <v>2015</v>
      </c>
      <c r="B153" t="s">
        <v>47</v>
      </c>
      <c r="C153" t="s">
        <v>167</v>
      </c>
      <c r="D153" t="s">
        <v>166</v>
      </c>
      <c r="E153" t="s">
        <v>650</v>
      </c>
      <c r="F153" t="s">
        <v>1156</v>
      </c>
      <c r="G153" t="s">
        <v>47</v>
      </c>
      <c r="H153">
        <v>133.61000000000001</v>
      </c>
      <c r="J153" s="1">
        <v>48767.65</v>
      </c>
      <c r="K153" s="1"/>
    </row>
    <row r="154" spans="1:11" x14ac:dyDescent="0.3">
      <c r="A154">
        <v>2015</v>
      </c>
      <c r="B154" t="s">
        <v>47</v>
      </c>
      <c r="C154" t="s">
        <v>378</v>
      </c>
      <c r="D154" t="s">
        <v>377</v>
      </c>
      <c r="E154" t="s">
        <v>652</v>
      </c>
      <c r="F154" t="s">
        <v>1158</v>
      </c>
      <c r="G154" t="s">
        <v>47</v>
      </c>
      <c r="H154">
        <v>178.43</v>
      </c>
      <c r="J154" s="1">
        <v>65126.950000000004</v>
      </c>
      <c r="K154" s="1"/>
    </row>
    <row r="155" spans="1:11" x14ac:dyDescent="0.3">
      <c r="A155">
        <v>2015</v>
      </c>
      <c r="B155" t="s">
        <v>47</v>
      </c>
      <c r="C155" t="s">
        <v>340</v>
      </c>
      <c r="D155" t="s">
        <v>339</v>
      </c>
      <c r="E155" t="s">
        <v>654</v>
      </c>
      <c r="F155" t="s">
        <v>1160</v>
      </c>
      <c r="G155" t="s">
        <v>47</v>
      </c>
      <c r="H155">
        <v>178.4</v>
      </c>
      <c r="J155" s="1">
        <v>65116</v>
      </c>
      <c r="K155" s="1"/>
    </row>
    <row r="156" spans="1:11" x14ac:dyDescent="0.3">
      <c r="A156">
        <v>2015</v>
      </c>
      <c r="B156" t="s">
        <v>47</v>
      </c>
      <c r="C156" t="s">
        <v>268</v>
      </c>
      <c r="D156" t="s">
        <v>267</v>
      </c>
      <c r="E156" t="s">
        <v>656</v>
      </c>
      <c r="F156" t="s">
        <v>711</v>
      </c>
      <c r="G156" t="s">
        <v>47</v>
      </c>
      <c r="H156">
        <v>213.26</v>
      </c>
      <c r="J156" s="1">
        <v>77839.899999999994</v>
      </c>
      <c r="K156" s="1"/>
    </row>
    <row r="157" spans="1:11" x14ac:dyDescent="0.3">
      <c r="A157">
        <v>2015</v>
      </c>
      <c r="B157" t="s">
        <v>47</v>
      </c>
      <c r="C157" t="s">
        <v>197</v>
      </c>
      <c r="D157" t="s">
        <v>196</v>
      </c>
      <c r="E157" t="s">
        <v>658</v>
      </c>
      <c r="F157" t="s">
        <v>715</v>
      </c>
      <c r="G157" t="s">
        <v>47</v>
      </c>
      <c r="H157">
        <v>243.15</v>
      </c>
      <c r="J157" s="1">
        <v>88749.75</v>
      </c>
      <c r="K157" s="1"/>
    </row>
    <row r="158" spans="1:11" x14ac:dyDescent="0.3">
      <c r="A158">
        <v>2015</v>
      </c>
      <c r="B158" t="s">
        <v>47</v>
      </c>
      <c r="C158" t="s">
        <v>576</v>
      </c>
      <c r="D158" t="s">
        <v>575</v>
      </c>
      <c r="E158" t="s">
        <v>660</v>
      </c>
      <c r="F158" t="s">
        <v>719</v>
      </c>
      <c r="G158" t="s">
        <v>47</v>
      </c>
      <c r="H158">
        <v>211.8</v>
      </c>
      <c r="J158" s="1">
        <v>77307</v>
      </c>
      <c r="K158" s="1"/>
    </row>
    <row r="159" spans="1:11" x14ac:dyDescent="0.3">
      <c r="A159">
        <v>2015</v>
      </c>
      <c r="B159" t="s">
        <v>47</v>
      </c>
      <c r="C159" t="s">
        <v>188</v>
      </c>
      <c r="D159" t="s">
        <v>187</v>
      </c>
      <c r="E159" t="s">
        <v>662</v>
      </c>
      <c r="F159" t="s">
        <v>723</v>
      </c>
      <c r="G159" t="s">
        <v>47</v>
      </c>
      <c r="H159">
        <v>262.95</v>
      </c>
      <c r="J159" s="1">
        <v>95976.75</v>
      </c>
      <c r="K159" s="1"/>
    </row>
    <row r="160" spans="1:11" x14ac:dyDescent="0.3">
      <c r="A160">
        <v>2015</v>
      </c>
      <c r="B160" t="s">
        <v>47</v>
      </c>
      <c r="C160" t="s">
        <v>158</v>
      </c>
      <c r="D160" t="s">
        <v>157</v>
      </c>
      <c r="E160" t="s">
        <v>663</v>
      </c>
      <c r="F160" t="s">
        <v>738</v>
      </c>
      <c r="G160" t="s">
        <v>47</v>
      </c>
      <c r="H160">
        <v>64.38</v>
      </c>
      <c r="J160" s="1">
        <v>23498.699999999997</v>
      </c>
      <c r="K160" s="1">
        <f>J161-J160</f>
        <v>13121.75</v>
      </c>
    </row>
    <row r="161" spans="1:11" x14ac:dyDescent="0.3">
      <c r="A161">
        <v>2015</v>
      </c>
      <c r="B161" t="s">
        <v>47</v>
      </c>
      <c r="C161" t="s">
        <v>79</v>
      </c>
      <c r="D161" t="s">
        <v>78</v>
      </c>
      <c r="E161" t="s">
        <v>664</v>
      </c>
      <c r="F161" t="s">
        <v>739</v>
      </c>
      <c r="G161" t="s">
        <v>47</v>
      </c>
      <c r="H161">
        <v>100.33</v>
      </c>
      <c r="J161" s="1">
        <v>36620.449999999997</v>
      </c>
      <c r="K161" s="1"/>
    </row>
    <row r="162" spans="1:11" x14ac:dyDescent="0.3">
      <c r="A162">
        <v>2015</v>
      </c>
      <c r="B162" t="s">
        <v>47</v>
      </c>
      <c r="C162" t="s">
        <v>252</v>
      </c>
      <c r="D162" t="s">
        <v>251</v>
      </c>
      <c r="E162" t="s">
        <v>665</v>
      </c>
      <c r="F162" t="s">
        <v>742</v>
      </c>
      <c r="G162" t="s">
        <v>47</v>
      </c>
      <c r="H162">
        <v>80.69</v>
      </c>
      <c r="J162" s="1">
        <v>29451.85</v>
      </c>
      <c r="K162" s="1">
        <f>J163-J162</f>
        <v>13118.099999999999</v>
      </c>
    </row>
    <row r="163" spans="1:11" x14ac:dyDescent="0.3">
      <c r="A163">
        <v>2015</v>
      </c>
      <c r="B163" t="s">
        <v>47</v>
      </c>
      <c r="C163" t="s">
        <v>177</v>
      </c>
      <c r="D163" t="s">
        <v>176</v>
      </c>
      <c r="E163" t="s">
        <v>666</v>
      </c>
      <c r="F163" t="s">
        <v>743</v>
      </c>
      <c r="G163" t="s">
        <v>47</v>
      </c>
      <c r="H163">
        <v>116.63</v>
      </c>
      <c r="J163" s="1">
        <v>42569.95</v>
      </c>
      <c r="K163" s="1"/>
    </row>
    <row r="164" spans="1:11" x14ac:dyDescent="0.3">
      <c r="A164">
        <v>2015</v>
      </c>
      <c r="B164" t="s">
        <v>47</v>
      </c>
      <c r="C164" t="s">
        <v>266</v>
      </c>
      <c r="D164" t="s">
        <v>265</v>
      </c>
      <c r="E164" t="s">
        <v>668</v>
      </c>
      <c r="F164" t="s">
        <v>761</v>
      </c>
      <c r="G164" t="s">
        <v>47</v>
      </c>
      <c r="H164">
        <v>130.44999999999999</v>
      </c>
      <c r="J164" s="1">
        <v>47614.249999999993</v>
      </c>
      <c r="K164" s="1"/>
    </row>
    <row r="165" spans="1:11" x14ac:dyDescent="0.3">
      <c r="A165">
        <v>2015</v>
      </c>
      <c r="B165" t="s">
        <v>47</v>
      </c>
      <c r="C165" t="s">
        <v>235</v>
      </c>
      <c r="D165" t="s">
        <v>234</v>
      </c>
      <c r="E165" t="s">
        <v>669</v>
      </c>
      <c r="F165" t="s">
        <v>762</v>
      </c>
      <c r="G165" t="s">
        <v>47</v>
      </c>
      <c r="H165">
        <v>103.39</v>
      </c>
      <c r="J165" s="1">
        <v>37737.35</v>
      </c>
      <c r="K165" s="1"/>
    </row>
    <row r="166" spans="1:11" x14ac:dyDescent="0.3">
      <c r="A166">
        <v>2015</v>
      </c>
      <c r="B166" t="s">
        <v>47</v>
      </c>
      <c r="C166" t="s">
        <v>300</v>
      </c>
      <c r="D166" t="s">
        <v>299</v>
      </c>
      <c r="E166" t="s">
        <v>670</v>
      </c>
      <c r="F166" t="s">
        <v>763</v>
      </c>
      <c r="G166" t="s">
        <v>47</v>
      </c>
      <c r="H166">
        <v>139.35</v>
      </c>
      <c r="J166" s="1">
        <v>50862.75</v>
      </c>
      <c r="K166" s="1"/>
    </row>
    <row r="167" spans="1:11" x14ac:dyDescent="0.3">
      <c r="A167">
        <v>2015</v>
      </c>
      <c r="B167" t="s">
        <v>47</v>
      </c>
      <c r="C167" t="s">
        <v>231</v>
      </c>
      <c r="D167" t="s">
        <v>230</v>
      </c>
      <c r="E167" t="s">
        <v>672</v>
      </c>
      <c r="F167" t="s">
        <v>770</v>
      </c>
      <c r="G167" t="s">
        <v>47</v>
      </c>
      <c r="H167">
        <v>143.13</v>
      </c>
      <c r="J167" s="1">
        <v>52242.45</v>
      </c>
      <c r="K167" s="1"/>
    </row>
    <row r="168" spans="1:11" x14ac:dyDescent="0.3">
      <c r="A168">
        <v>2015</v>
      </c>
      <c r="B168" t="s">
        <v>47</v>
      </c>
      <c r="C168" t="s">
        <v>318</v>
      </c>
      <c r="D168" t="s">
        <v>317</v>
      </c>
      <c r="E168" t="s">
        <v>673</v>
      </c>
      <c r="F168" t="s">
        <v>771</v>
      </c>
      <c r="G168" t="s">
        <v>47</v>
      </c>
      <c r="H168">
        <v>117.7</v>
      </c>
      <c r="J168" s="1">
        <v>42960.5</v>
      </c>
      <c r="K168" s="1"/>
    </row>
    <row r="169" spans="1:11" x14ac:dyDescent="0.3">
      <c r="A169">
        <v>2015</v>
      </c>
      <c r="B169" t="s">
        <v>47</v>
      </c>
      <c r="C169" t="s">
        <v>105</v>
      </c>
      <c r="D169" t="s">
        <v>104</v>
      </c>
      <c r="E169" t="s">
        <v>674</v>
      </c>
      <c r="F169" t="s">
        <v>772</v>
      </c>
      <c r="G169" t="s">
        <v>47</v>
      </c>
      <c r="H169">
        <v>153.65</v>
      </c>
      <c r="J169" s="1">
        <v>56082.25</v>
      </c>
      <c r="K169" s="1"/>
    </row>
    <row r="170" spans="1:11" x14ac:dyDescent="0.3">
      <c r="A170">
        <v>2015</v>
      </c>
      <c r="B170" t="s">
        <v>47</v>
      </c>
      <c r="C170" t="s">
        <v>366</v>
      </c>
      <c r="D170" t="s">
        <v>365</v>
      </c>
      <c r="E170" t="s">
        <v>676</v>
      </c>
      <c r="F170" t="s">
        <v>778</v>
      </c>
      <c r="G170" t="s">
        <v>47</v>
      </c>
      <c r="H170">
        <v>178.29</v>
      </c>
      <c r="J170" s="1">
        <v>65075.85</v>
      </c>
      <c r="K170" s="1"/>
    </row>
    <row r="171" spans="1:11" x14ac:dyDescent="0.3">
      <c r="A171">
        <v>2015</v>
      </c>
      <c r="B171" t="s">
        <v>47</v>
      </c>
      <c r="C171" t="s">
        <v>202</v>
      </c>
      <c r="D171" t="s">
        <v>201</v>
      </c>
      <c r="E171" t="s">
        <v>677</v>
      </c>
      <c r="F171" t="s">
        <v>779</v>
      </c>
      <c r="G171" t="s">
        <v>47</v>
      </c>
      <c r="H171">
        <v>144.35</v>
      </c>
      <c r="J171" s="1">
        <v>52687.75</v>
      </c>
      <c r="K171" s="1"/>
    </row>
    <row r="172" spans="1:11" x14ac:dyDescent="0.3">
      <c r="A172">
        <v>2015</v>
      </c>
      <c r="B172" t="s">
        <v>47</v>
      </c>
      <c r="C172" t="s">
        <v>350</v>
      </c>
      <c r="D172" t="s">
        <v>349</v>
      </c>
      <c r="E172" t="s">
        <v>678</v>
      </c>
      <c r="F172" t="s">
        <v>780</v>
      </c>
      <c r="G172" t="s">
        <v>47</v>
      </c>
      <c r="H172">
        <v>193.54</v>
      </c>
      <c r="J172" s="1">
        <v>70642.099999999991</v>
      </c>
      <c r="K172" s="1"/>
    </row>
    <row r="173" spans="1:11" x14ac:dyDescent="0.3">
      <c r="A173">
        <v>2015</v>
      </c>
      <c r="B173" t="s">
        <v>47</v>
      </c>
      <c r="C173" t="s">
        <v>102</v>
      </c>
      <c r="D173" t="s">
        <v>101</v>
      </c>
      <c r="E173" t="s">
        <v>680</v>
      </c>
      <c r="F173" t="s">
        <v>787</v>
      </c>
      <c r="G173" t="s">
        <v>47</v>
      </c>
      <c r="H173">
        <v>171.62</v>
      </c>
      <c r="J173" s="1">
        <v>62641.3</v>
      </c>
      <c r="K173" s="1"/>
    </row>
    <row r="174" spans="1:11" x14ac:dyDescent="0.3">
      <c r="A174">
        <v>2015</v>
      </c>
      <c r="B174" t="s">
        <v>47</v>
      </c>
      <c r="C174" t="s">
        <v>64</v>
      </c>
      <c r="D174" t="s">
        <v>63</v>
      </c>
      <c r="E174" t="s">
        <v>681</v>
      </c>
      <c r="F174" t="s">
        <v>788</v>
      </c>
      <c r="G174" t="s">
        <v>47</v>
      </c>
      <c r="H174">
        <v>138.53</v>
      </c>
      <c r="J174" s="1">
        <v>50563.45</v>
      </c>
      <c r="K174" s="1"/>
    </row>
    <row r="175" spans="1:11" x14ac:dyDescent="0.3">
      <c r="A175">
        <v>2015</v>
      </c>
      <c r="B175" t="s">
        <v>47</v>
      </c>
      <c r="C175" t="s">
        <v>223</v>
      </c>
      <c r="D175" t="s">
        <v>222</v>
      </c>
      <c r="E175" t="s">
        <v>682</v>
      </c>
      <c r="F175" t="s">
        <v>789</v>
      </c>
      <c r="G175" t="s">
        <v>47</v>
      </c>
      <c r="H175">
        <v>187.71</v>
      </c>
      <c r="J175" s="1">
        <v>68514.150000000009</v>
      </c>
      <c r="K175" s="1"/>
    </row>
    <row r="176" spans="1:11" x14ac:dyDescent="0.3">
      <c r="A176">
        <v>2015</v>
      </c>
      <c r="B176" t="s">
        <v>47</v>
      </c>
      <c r="C176" t="s">
        <v>142</v>
      </c>
      <c r="D176" t="s">
        <v>141</v>
      </c>
      <c r="E176" t="s">
        <v>684</v>
      </c>
      <c r="F176" t="s">
        <v>796</v>
      </c>
      <c r="G176" t="s">
        <v>47</v>
      </c>
      <c r="H176">
        <v>241.79</v>
      </c>
      <c r="J176" s="1">
        <v>88253.349999999991</v>
      </c>
      <c r="K176" s="1"/>
    </row>
    <row r="177" spans="1:13" x14ac:dyDescent="0.3">
      <c r="A177">
        <v>2015</v>
      </c>
      <c r="B177" t="s">
        <v>47</v>
      </c>
      <c r="C177" t="s">
        <v>329</v>
      </c>
      <c r="D177" t="s">
        <v>328</v>
      </c>
      <c r="E177" t="s">
        <v>685</v>
      </c>
      <c r="F177" t="s">
        <v>797</v>
      </c>
      <c r="G177" t="s">
        <v>47</v>
      </c>
      <c r="H177">
        <v>179.58</v>
      </c>
      <c r="J177" s="1">
        <v>65546.700000000012</v>
      </c>
      <c r="K177" s="1"/>
    </row>
    <row r="178" spans="1:13" x14ac:dyDescent="0.3">
      <c r="A178">
        <v>2015</v>
      </c>
      <c r="B178" t="s">
        <v>47</v>
      </c>
      <c r="C178" t="s">
        <v>183</v>
      </c>
      <c r="D178" t="s">
        <v>182</v>
      </c>
      <c r="E178" t="s">
        <v>686</v>
      </c>
      <c r="F178" t="s">
        <v>798</v>
      </c>
      <c r="G178" t="s">
        <v>47</v>
      </c>
      <c r="H178">
        <v>262.73</v>
      </c>
      <c r="J178" s="1">
        <v>95896.450000000012</v>
      </c>
      <c r="K178" s="1"/>
    </row>
    <row r="179" spans="1:13" x14ac:dyDescent="0.3">
      <c r="A179">
        <v>2015</v>
      </c>
      <c r="B179" t="s">
        <v>47</v>
      </c>
      <c r="C179" t="s">
        <v>250</v>
      </c>
      <c r="D179" t="s">
        <v>249</v>
      </c>
      <c r="E179" t="s">
        <v>688</v>
      </c>
      <c r="F179" t="s">
        <v>805</v>
      </c>
      <c r="G179" t="s">
        <v>47</v>
      </c>
      <c r="H179">
        <v>203.3</v>
      </c>
      <c r="J179" s="1">
        <v>74204.5</v>
      </c>
      <c r="K179" s="1"/>
    </row>
    <row r="180" spans="1:13" x14ac:dyDescent="0.3">
      <c r="A180">
        <v>2015</v>
      </c>
      <c r="B180" t="s">
        <v>47</v>
      </c>
      <c r="C180" t="s">
        <v>282</v>
      </c>
      <c r="D180" t="s">
        <v>281</v>
      </c>
      <c r="E180" t="s">
        <v>689</v>
      </c>
      <c r="F180" t="s">
        <v>806</v>
      </c>
      <c r="G180" t="s">
        <v>47</v>
      </c>
      <c r="H180">
        <v>169.36</v>
      </c>
      <c r="J180" s="1">
        <v>61816.4</v>
      </c>
      <c r="K180" s="1"/>
    </row>
    <row r="181" spans="1:13" x14ac:dyDescent="0.3">
      <c r="A181">
        <v>2015</v>
      </c>
      <c r="B181" t="s">
        <v>47</v>
      </c>
      <c r="C181" t="s">
        <v>352</v>
      </c>
      <c r="D181" t="s">
        <v>351</v>
      </c>
      <c r="E181" t="s">
        <v>690</v>
      </c>
      <c r="F181" t="s">
        <v>807</v>
      </c>
      <c r="G181" t="s">
        <v>47</v>
      </c>
      <c r="H181">
        <v>218.54</v>
      </c>
      <c r="J181" s="1">
        <v>79767.099999999991</v>
      </c>
      <c r="K181" s="1"/>
    </row>
    <row r="182" spans="1:13" x14ac:dyDescent="0.3">
      <c r="A182">
        <v>2015</v>
      </c>
      <c r="B182" t="s">
        <v>47</v>
      </c>
      <c r="C182" t="s">
        <v>126</v>
      </c>
      <c r="D182" t="s">
        <v>125</v>
      </c>
      <c r="E182" t="s">
        <v>691</v>
      </c>
      <c r="F182" t="s">
        <v>745</v>
      </c>
      <c r="G182" t="s">
        <v>47</v>
      </c>
      <c r="H182">
        <v>129.03</v>
      </c>
      <c r="J182" s="1">
        <v>47095.95</v>
      </c>
      <c r="K182" s="1"/>
    </row>
    <row r="183" spans="1:13" x14ac:dyDescent="0.3">
      <c r="A183">
        <v>2015</v>
      </c>
      <c r="B183" t="s">
        <v>47</v>
      </c>
      <c r="C183" t="s">
        <v>257</v>
      </c>
      <c r="D183" t="s">
        <v>256</v>
      </c>
      <c r="E183" t="s">
        <v>692</v>
      </c>
      <c r="F183" t="s">
        <v>748</v>
      </c>
      <c r="G183" t="s">
        <v>47</v>
      </c>
      <c r="H183">
        <v>167.75</v>
      </c>
      <c r="J183" s="1">
        <v>61228.75</v>
      </c>
      <c r="K183" s="1"/>
    </row>
    <row r="184" spans="1:13" x14ac:dyDescent="0.3">
      <c r="A184">
        <v>2015</v>
      </c>
      <c r="B184" t="s">
        <v>47</v>
      </c>
      <c r="C184" t="s">
        <v>272</v>
      </c>
      <c r="D184" t="s">
        <v>271</v>
      </c>
      <c r="E184" t="s">
        <v>693</v>
      </c>
      <c r="F184" t="s">
        <v>750</v>
      </c>
      <c r="G184" t="s">
        <v>47</v>
      </c>
      <c r="H184">
        <v>208.01</v>
      </c>
      <c r="J184" s="1">
        <v>75923.649999999994</v>
      </c>
      <c r="K184" s="1"/>
    </row>
    <row r="185" spans="1:13" x14ac:dyDescent="0.3">
      <c r="A185">
        <v>2015</v>
      </c>
      <c r="B185" t="s">
        <v>47</v>
      </c>
      <c r="C185" t="s">
        <v>241</v>
      </c>
      <c r="D185" t="s">
        <v>240</v>
      </c>
      <c r="E185" t="s">
        <v>694</v>
      </c>
      <c r="F185" t="s">
        <v>752</v>
      </c>
      <c r="G185" t="s">
        <v>47</v>
      </c>
      <c r="H185">
        <v>246.46</v>
      </c>
      <c r="J185" s="1">
        <v>89957.900000000009</v>
      </c>
      <c r="K185" s="1"/>
    </row>
    <row r="186" spans="1:13" x14ac:dyDescent="0.3">
      <c r="A186">
        <v>2015</v>
      </c>
      <c r="B186" t="s">
        <v>47</v>
      </c>
      <c r="C186" t="s">
        <v>206</v>
      </c>
      <c r="D186" t="s">
        <v>205</v>
      </c>
      <c r="E186" t="s">
        <v>695</v>
      </c>
      <c r="F186" t="s">
        <v>754</v>
      </c>
      <c r="G186" t="s">
        <v>47</v>
      </c>
      <c r="H186">
        <v>245.29</v>
      </c>
      <c r="J186" s="1">
        <v>89530.849999999991</v>
      </c>
      <c r="K186" s="1"/>
    </row>
    <row r="187" spans="1:13" x14ac:dyDescent="0.3">
      <c r="A187">
        <v>2015</v>
      </c>
      <c r="B187" t="s">
        <v>47</v>
      </c>
      <c r="C187" t="s">
        <v>566</v>
      </c>
      <c r="D187" t="s">
        <v>565</v>
      </c>
      <c r="E187" t="s">
        <v>696</v>
      </c>
      <c r="F187" t="s">
        <v>746</v>
      </c>
      <c r="G187" t="s">
        <v>47</v>
      </c>
      <c r="H187">
        <v>320.95999999999998</v>
      </c>
      <c r="J187" s="1">
        <v>117150.39999999999</v>
      </c>
      <c r="K187" s="1"/>
    </row>
    <row r="188" spans="1:13" x14ac:dyDescent="0.3">
      <c r="A188">
        <v>2015</v>
      </c>
      <c r="B188" t="s">
        <v>47</v>
      </c>
      <c r="C188" t="s">
        <v>217</v>
      </c>
      <c r="D188" t="s">
        <v>814</v>
      </c>
      <c r="E188" t="s">
        <v>815</v>
      </c>
      <c r="F188" t="s">
        <v>816</v>
      </c>
      <c r="G188" t="s">
        <v>47</v>
      </c>
      <c r="H188">
        <v>86.31</v>
      </c>
      <c r="J188" s="1">
        <v>31503.15</v>
      </c>
      <c r="K188" s="1">
        <f>J189-J188</f>
        <v>16187.75</v>
      </c>
      <c r="L188" s="40"/>
      <c r="M188" s="40"/>
    </row>
    <row r="189" spans="1:13" x14ac:dyDescent="0.3">
      <c r="A189">
        <v>2015</v>
      </c>
      <c r="B189" t="s">
        <v>47</v>
      </c>
      <c r="C189" t="s">
        <v>112</v>
      </c>
      <c r="D189" t="s">
        <v>817</v>
      </c>
      <c r="E189" t="s">
        <v>818</v>
      </c>
      <c r="F189" t="s">
        <v>819</v>
      </c>
      <c r="G189" t="s">
        <v>47</v>
      </c>
      <c r="H189">
        <v>130.66</v>
      </c>
      <c r="J189" s="1">
        <v>47690.9</v>
      </c>
      <c r="K189" s="1"/>
    </row>
    <row r="190" spans="1:13" x14ac:dyDescent="0.3">
      <c r="A190">
        <v>2015</v>
      </c>
      <c r="B190" t="s">
        <v>47</v>
      </c>
      <c r="C190" t="s">
        <v>123</v>
      </c>
      <c r="D190" t="s">
        <v>826</v>
      </c>
      <c r="E190" t="s">
        <v>827</v>
      </c>
      <c r="F190" t="s">
        <v>828</v>
      </c>
      <c r="G190" t="s">
        <v>47</v>
      </c>
      <c r="H190">
        <v>114.28</v>
      </c>
      <c r="J190" s="1">
        <v>41712.199999999997</v>
      </c>
      <c r="K190" s="1">
        <f>J191-J190</f>
        <v>14738.700000000004</v>
      </c>
    </row>
    <row r="191" spans="1:13" x14ac:dyDescent="0.3">
      <c r="A191">
        <v>2015</v>
      </c>
      <c r="B191" t="s">
        <v>47</v>
      </c>
      <c r="C191" t="s">
        <v>278</v>
      </c>
      <c r="D191" t="s">
        <v>829</v>
      </c>
      <c r="E191" t="s">
        <v>830</v>
      </c>
      <c r="F191" t="s">
        <v>831</v>
      </c>
      <c r="G191" t="s">
        <v>47</v>
      </c>
      <c r="H191">
        <v>154.66</v>
      </c>
      <c r="J191" s="1">
        <v>56450.9</v>
      </c>
      <c r="K191" s="1"/>
    </row>
    <row r="192" spans="1:13" x14ac:dyDescent="0.3">
      <c r="A192">
        <v>2015</v>
      </c>
      <c r="B192" t="s">
        <v>47</v>
      </c>
      <c r="C192" t="s">
        <v>137</v>
      </c>
      <c r="D192" t="s">
        <v>847</v>
      </c>
      <c r="E192" t="s">
        <v>848</v>
      </c>
      <c r="F192" t="s">
        <v>849</v>
      </c>
      <c r="G192" t="s">
        <v>47</v>
      </c>
      <c r="H192">
        <v>144.66</v>
      </c>
      <c r="J192" s="1">
        <v>52800.9</v>
      </c>
      <c r="K192" s="1"/>
    </row>
    <row r="193" spans="1:11" x14ac:dyDescent="0.3">
      <c r="A193">
        <v>2015</v>
      </c>
      <c r="B193" t="s">
        <v>47</v>
      </c>
      <c r="C193" t="s">
        <v>181</v>
      </c>
      <c r="D193" t="s">
        <v>850</v>
      </c>
      <c r="E193" t="s">
        <v>851</v>
      </c>
      <c r="F193" t="s">
        <v>852</v>
      </c>
      <c r="G193" t="s">
        <v>47</v>
      </c>
      <c r="H193">
        <v>123.62</v>
      </c>
      <c r="J193" s="1">
        <v>45121.3</v>
      </c>
      <c r="K193" s="1"/>
    </row>
    <row r="194" spans="1:11" x14ac:dyDescent="0.3">
      <c r="A194">
        <v>2015</v>
      </c>
      <c r="B194" t="s">
        <v>47</v>
      </c>
      <c r="C194" t="s">
        <v>301</v>
      </c>
      <c r="D194" t="s">
        <v>853</v>
      </c>
      <c r="E194" t="s">
        <v>854</v>
      </c>
      <c r="F194" t="s">
        <v>855</v>
      </c>
      <c r="G194" t="s">
        <v>47</v>
      </c>
      <c r="H194">
        <v>167.97</v>
      </c>
      <c r="J194" s="1">
        <v>61309.05</v>
      </c>
      <c r="K194" s="1"/>
    </row>
    <row r="195" spans="1:11" x14ac:dyDescent="0.3">
      <c r="A195">
        <v>2015</v>
      </c>
      <c r="B195" t="s">
        <v>47</v>
      </c>
      <c r="C195" t="s">
        <v>337</v>
      </c>
      <c r="D195" t="s">
        <v>871</v>
      </c>
      <c r="E195" t="s">
        <v>872</v>
      </c>
      <c r="F195" t="s">
        <v>873</v>
      </c>
      <c r="G195" t="s">
        <v>47</v>
      </c>
      <c r="H195">
        <v>156.43</v>
      </c>
      <c r="J195" s="1">
        <v>57096.950000000004</v>
      </c>
      <c r="K195" s="1"/>
    </row>
    <row r="196" spans="1:11" x14ac:dyDescent="0.3">
      <c r="A196">
        <v>2015</v>
      </c>
      <c r="B196" t="s">
        <v>47</v>
      </c>
      <c r="C196" t="s">
        <v>233</v>
      </c>
      <c r="D196" t="s">
        <v>874</v>
      </c>
      <c r="E196" t="s">
        <v>875</v>
      </c>
      <c r="F196" t="s">
        <v>876</v>
      </c>
      <c r="G196" t="s">
        <v>47</v>
      </c>
      <c r="H196">
        <v>139.88999999999999</v>
      </c>
      <c r="J196" s="1">
        <v>51059.85</v>
      </c>
      <c r="K196" s="1"/>
    </row>
    <row r="197" spans="1:11" x14ac:dyDescent="0.3">
      <c r="A197">
        <v>2015</v>
      </c>
      <c r="B197" t="s">
        <v>47</v>
      </c>
      <c r="C197" t="s">
        <v>273</v>
      </c>
      <c r="D197" t="s">
        <v>877</v>
      </c>
      <c r="E197" t="s">
        <v>878</v>
      </c>
      <c r="F197" t="s">
        <v>879</v>
      </c>
      <c r="G197" t="s">
        <v>47</v>
      </c>
      <c r="H197">
        <v>180.27</v>
      </c>
      <c r="J197" s="1">
        <v>65798.55</v>
      </c>
      <c r="K197" s="1"/>
    </row>
    <row r="198" spans="1:11" x14ac:dyDescent="0.3">
      <c r="A198">
        <v>2015</v>
      </c>
      <c r="B198" t="s">
        <v>47</v>
      </c>
      <c r="C198" t="s">
        <v>156</v>
      </c>
      <c r="D198" t="s">
        <v>896</v>
      </c>
      <c r="E198" t="s">
        <v>897</v>
      </c>
      <c r="F198" t="s">
        <v>898</v>
      </c>
      <c r="G198" t="s">
        <v>47</v>
      </c>
      <c r="H198">
        <v>181.68</v>
      </c>
      <c r="J198" s="1">
        <v>66313.2</v>
      </c>
      <c r="K198" s="1"/>
    </row>
    <row r="199" spans="1:11" x14ac:dyDescent="0.3">
      <c r="A199">
        <v>2015</v>
      </c>
      <c r="B199" t="s">
        <v>47</v>
      </c>
      <c r="C199" t="s">
        <v>155</v>
      </c>
      <c r="D199" t="s">
        <v>899</v>
      </c>
      <c r="E199" t="s">
        <v>900</v>
      </c>
      <c r="F199" t="s">
        <v>901</v>
      </c>
      <c r="G199" t="s">
        <v>47</v>
      </c>
      <c r="H199">
        <v>165.77</v>
      </c>
      <c r="J199" s="1">
        <v>60506.05</v>
      </c>
      <c r="K199" s="1"/>
    </row>
    <row r="200" spans="1:11" x14ac:dyDescent="0.3">
      <c r="A200">
        <v>2015</v>
      </c>
      <c r="B200" t="s">
        <v>47</v>
      </c>
      <c r="C200" t="s">
        <v>165</v>
      </c>
      <c r="D200" t="s">
        <v>902</v>
      </c>
      <c r="E200" t="s">
        <v>903</v>
      </c>
      <c r="F200" t="s">
        <v>904</v>
      </c>
      <c r="G200" t="s">
        <v>47</v>
      </c>
      <c r="H200">
        <v>210.12</v>
      </c>
      <c r="J200" s="1">
        <v>76693.8</v>
      </c>
      <c r="K200" s="1"/>
    </row>
    <row r="201" spans="1:11" x14ac:dyDescent="0.3">
      <c r="A201">
        <v>2015</v>
      </c>
      <c r="B201" t="s">
        <v>47</v>
      </c>
      <c r="C201" t="s">
        <v>364</v>
      </c>
      <c r="D201" t="s">
        <v>921</v>
      </c>
      <c r="E201" t="s">
        <v>922</v>
      </c>
      <c r="F201" t="s">
        <v>923</v>
      </c>
      <c r="G201" t="s">
        <v>47</v>
      </c>
      <c r="H201">
        <v>191.13</v>
      </c>
      <c r="J201" s="1">
        <v>69762.45</v>
      </c>
      <c r="K201" s="1"/>
    </row>
    <row r="202" spans="1:11" x14ac:dyDescent="0.3">
      <c r="A202">
        <v>2015</v>
      </c>
      <c r="B202" t="s">
        <v>47</v>
      </c>
      <c r="C202" t="s">
        <v>380</v>
      </c>
      <c r="D202" t="s">
        <v>924</v>
      </c>
      <c r="E202" t="s">
        <v>925</v>
      </c>
      <c r="F202" t="s">
        <v>926</v>
      </c>
      <c r="G202" t="s">
        <v>47</v>
      </c>
      <c r="H202">
        <v>184.16</v>
      </c>
      <c r="J202" s="1">
        <v>67218.399999999994</v>
      </c>
      <c r="K202" s="1"/>
    </row>
    <row r="203" spans="1:11" x14ac:dyDescent="0.3">
      <c r="A203">
        <v>2015</v>
      </c>
      <c r="B203" t="s">
        <v>47</v>
      </c>
      <c r="C203" t="s">
        <v>289</v>
      </c>
      <c r="D203" t="s">
        <v>927</v>
      </c>
      <c r="E203" t="s">
        <v>928</v>
      </c>
      <c r="F203" t="s">
        <v>929</v>
      </c>
      <c r="G203" t="s">
        <v>47</v>
      </c>
      <c r="H203">
        <v>224.55</v>
      </c>
      <c r="J203" s="1">
        <v>81960.75</v>
      </c>
      <c r="K203" s="1"/>
    </row>
    <row r="204" spans="1:11" x14ac:dyDescent="0.3">
      <c r="A204">
        <v>2015</v>
      </c>
      <c r="B204" t="s">
        <v>47</v>
      </c>
      <c r="C204" t="s">
        <v>68</v>
      </c>
      <c r="D204" t="s">
        <v>946</v>
      </c>
      <c r="E204" t="s">
        <v>947</v>
      </c>
      <c r="F204" t="s">
        <v>948</v>
      </c>
      <c r="G204" t="s">
        <v>47</v>
      </c>
      <c r="H204">
        <v>202.23</v>
      </c>
      <c r="J204" s="1">
        <v>73813.95</v>
      </c>
      <c r="K204" s="1"/>
    </row>
    <row r="205" spans="1:11" x14ac:dyDescent="0.3">
      <c r="A205">
        <v>2015</v>
      </c>
      <c r="B205" t="s">
        <v>47</v>
      </c>
      <c r="C205" t="s">
        <v>178</v>
      </c>
      <c r="D205" t="s">
        <v>949</v>
      </c>
      <c r="E205" t="s">
        <v>950</v>
      </c>
      <c r="F205" t="s">
        <v>951</v>
      </c>
      <c r="G205" t="s">
        <v>47</v>
      </c>
      <c r="H205">
        <v>198.47</v>
      </c>
      <c r="J205" s="1">
        <v>72441.55</v>
      </c>
      <c r="K205" s="1"/>
    </row>
    <row r="206" spans="1:11" x14ac:dyDescent="0.3">
      <c r="A206">
        <v>2015</v>
      </c>
      <c r="B206" t="s">
        <v>47</v>
      </c>
      <c r="C206" t="s">
        <v>134</v>
      </c>
      <c r="D206" t="s">
        <v>952</v>
      </c>
      <c r="E206" t="s">
        <v>953</v>
      </c>
      <c r="F206" t="s">
        <v>954</v>
      </c>
      <c r="G206" t="s">
        <v>47</v>
      </c>
      <c r="H206">
        <v>232.35</v>
      </c>
      <c r="J206" s="1">
        <v>84807.75</v>
      </c>
      <c r="K206" s="1"/>
    </row>
    <row r="207" spans="1:11" x14ac:dyDescent="0.3">
      <c r="A207">
        <v>2015</v>
      </c>
      <c r="B207" t="s">
        <v>47</v>
      </c>
      <c r="C207" t="s">
        <v>65</v>
      </c>
      <c r="D207" t="s">
        <v>970</v>
      </c>
      <c r="E207" t="s">
        <v>971</v>
      </c>
      <c r="F207" t="s">
        <v>972</v>
      </c>
      <c r="G207" t="s">
        <v>47</v>
      </c>
      <c r="H207">
        <v>152.26</v>
      </c>
      <c r="J207" s="1">
        <v>55574.899999999994</v>
      </c>
      <c r="K207" s="1"/>
    </row>
    <row r="208" spans="1:11" x14ac:dyDescent="0.3">
      <c r="A208">
        <v>2015</v>
      </c>
      <c r="B208" t="s">
        <v>47</v>
      </c>
      <c r="C208" t="s">
        <v>307</v>
      </c>
      <c r="D208" t="s">
        <v>973</v>
      </c>
      <c r="E208" t="s">
        <v>974</v>
      </c>
      <c r="F208" t="s">
        <v>975</v>
      </c>
      <c r="G208" t="s">
        <v>47</v>
      </c>
      <c r="H208">
        <v>112.95</v>
      </c>
      <c r="J208" s="1">
        <v>41226.75</v>
      </c>
      <c r="K208" s="1"/>
    </row>
    <row r="209" spans="1:11" x14ac:dyDescent="0.3">
      <c r="A209">
        <v>2015</v>
      </c>
      <c r="B209" t="s">
        <v>47</v>
      </c>
      <c r="C209" t="s">
        <v>57</v>
      </c>
      <c r="D209" t="s">
        <v>976</v>
      </c>
      <c r="E209" t="s">
        <v>977</v>
      </c>
      <c r="F209" t="s">
        <v>978</v>
      </c>
      <c r="G209" t="s">
        <v>47</v>
      </c>
      <c r="H209">
        <v>162.99</v>
      </c>
      <c r="J209" s="1">
        <v>59491.350000000006</v>
      </c>
      <c r="K209" s="1"/>
    </row>
    <row r="210" spans="1:11" x14ac:dyDescent="0.3">
      <c r="A210">
        <v>2015</v>
      </c>
      <c r="B210" t="s">
        <v>47</v>
      </c>
      <c r="C210" t="s">
        <v>88</v>
      </c>
      <c r="D210" t="s">
        <v>994</v>
      </c>
      <c r="E210" t="s">
        <v>995</v>
      </c>
      <c r="F210" t="s">
        <v>996</v>
      </c>
      <c r="G210" t="s">
        <v>47</v>
      </c>
      <c r="H210">
        <v>264.02</v>
      </c>
      <c r="J210" s="1">
        <v>96367.299999999988</v>
      </c>
      <c r="K210" s="1"/>
    </row>
    <row r="211" spans="1:11" x14ac:dyDescent="0.3">
      <c r="A211">
        <v>2015</v>
      </c>
      <c r="B211" t="s">
        <v>47</v>
      </c>
      <c r="C211" t="s">
        <v>227</v>
      </c>
      <c r="D211" t="s">
        <v>997</v>
      </c>
      <c r="E211" t="s">
        <v>998</v>
      </c>
      <c r="F211" t="s">
        <v>999</v>
      </c>
      <c r="G211" t="s">
        <v>47</v>
      </c>
      <c r="H211">
        <v>221.34</v>
      </c>
      <c r="J211" s="1">
        <v>80789.100000000006</v>
      </c>
      <c r="K211" s="1"/>
    </row>
    <row r="212" spans="1:11" x14ac:dyDescent="0.3">
      <c r="A212">
        <v>2015</v>
      </c>
      <c r="B212" t="s">
        <v>47</v>
      </c>
      <c r="C212" t="s">
        <v>186</v>
      </c>
      <c r="D212" t="s">
        <v>1000</v>
      </c>
      <c r="E212" t="s">
        <v>1001</v>
      </c>
      <c r="F212" t="s">
        <v>1002</v>
      </c>
      <c r="G212" t="s">
        <v>47</v>
      </c>
      <c r="H212">
        <v>285.47000000000003</v>
      </c>
      <c r="J212" s="1">
        <v>104196.55</v>
      </c>
      <c r="K212" s="1"/>
    </row>
    <row r="213" spans="1:11" x14ac:dyDescent="0.3">
      <c r="A213">
        <v>2015</v>
      </c>
      <c r="B213" t="s">
        <v>47</v>
      </c>
      <c r="C213" t="s">
        <v>325</v>
      </c>
      <c r="D213" t="s">
        <v>1018</v>
      </c>
      <c r="E213" t="s">
        <v>1019</v>
      </c>
      <c r="F213" t="s">
        <v>1020</v>
      </c>
      <c r="G213" t="s">
        <v>47</v>
      </c>
      <c r="H213">
        <v>306.61</v>
      </c>
      <c r="J213" s="1">
        <v>111912.65000000001</v>
      </c>
      <c r="K213" s="1"/>
    </row>
    <row r="214" spans="1:11" x14ac:dyDescent="0.3">
      <c r="A214">
        <v>2015</v>
      </c>
      <c r="B214" t="s">
        <v>47</v>
      </c>
      <c r="C214" t="s">
        <v>103</v>
      </c>
      <c r="D214" t="s">
        <v>1021</v>
      </c>
      <c r="E214" t="s">
        <v>1022</v>
      </c>
      <c r="F214" t="s">
        <v>1023</v>
      </c>
      <c r="G214" t="s">
        <v>47</v>
      </c>
      <c r="H214">
        <v>254.51</v>
      </c>
      <c r="J214" s="1">
        <v>92896.15</v>
      </c>
      <c r="K214" s="1"/>
    </row>
    <row r="215" spans="1:11" x14ac:dyDescent="0.3">
      <c r="A215">
        <v>2015</v>
      </c>
      <c r="B215" t="s">
        <v>47</v>
      </c>
      <c r="C215" t="s">
        <v>124</v>
      </c>
      <c r="D215" t="s">
        <v>1024</v>
      </c>
      <c r="E215" t="s">
        <v>1025</v>
      </c>
      <c r="F215" t="s">
        <v>1026</v>
      </c>
      <c r="G215" t="s">
        <v>47</v>
      </c>
      <c r="H215">
        <v>328.08</v>
      </c>
      <c r="J215" s="1">
        <v>119749.2</v>
      </c>
      <c r="K215" s="1"/>
    </row>
    <row r="216" spans="1:11" x14ac:dyDescent="0.3">
      <c r="A216">
        <v>2015</v>
      </c>
      <c r="B216" t="s">
        <v>47</v>
      </c>
      <c r="C216" t="s">
        <v>264</v>
      </c>
      <c r="D216" t="s">
        <v>1042</v>
      </c>
      <c r="E216" t="s">
        <v>1043</v>
      </c>
      <c r="F216" t="s">
        <v>1044</v>
      </c>
      <c r="G216" t="s">
        <v>47</v>
      </c>
      <c r="H216">
        <v>199.66</v>
      </c>
      <c r="J216" s="1">
        <v>72875.899999999994</v>
      </c>
      <c r="K216" s="1"/>
    </row>
    <row r="217" spans="1:11" x14ac:dyDescent="0.3">
      <c r="A217">
        <v>2015</v>
      </c>
      <c r="B217" t="s">
        <v>47</v>
      </c>
      <c r="C217" t="s">
        <v>376</v>
      </c>
      <c r="D217" t="s">
        <v>1045</v>
      </c>
      <c r="E217" t="s">
        <v>1046</v>
      </c>
      <c r="F217" t="s">
        <v>1047</v>
      </c>
      <c r="G217" t="s">
        <v>47</v>
      </c>
      <c r="H217">
        <v>171.09</v>
      </c>
      <c r="J217" s="1">
        <v>62447.85</v>
      </c>
      <c r="K217" s="1"/>
    </row>
    <row r="218" spans="1:11" x14ac:dyDescent="0.3">
      <c r="A218">
        <v>2015</v>
      </c>
      <c r="B218" t="s">
        <v>47</v>
      </c>
      <c r="C218" t="s">
        <v>336</v>
      </c>
      <c r="D218" t="s">
        <v>1048</v>
      </c>
      <c r="E218" t="s">
        <v>1049</v>
      </c>
      <c r="F218" t="s">
        <v>1050</v>
      </c>
      <c r="G218" t="s">
        <v>47</v>
      </c>
      <c r="H218">
        <v>221.12</v>
      </c>
      <c r="J218" s="1">
        <v>80708.800000000003</v>
      </c>
      <c r="K218" s="1"/>
    </row>
    <row r="219" spans="1:11" x14ac:dyDescent="0.3">
      <c r="A219">
        <v>2015</v>
      </c>
      <c r="B219" t="s">
        <v>47</v>
      </c>
      <c r="C219" t="s">
        <v>113</v>
      </c>
      <c r="D219" t="s">
        <v>1057</v>
      </c>
      <c r="E219" t="s">
        <v>1058</v>
      </c>
      <c r="F219" t="s">
        <v>1059</v>
      </c>
      <c r="G219" t="s">
        <v>47</v>
      </c>
      <c r="H219">
        <v>68.62</v>
      </c>
      <c r="J219" s="1">
        <v>25046.300000000003</v>
      </c>
      <c r="K219" s="1">
        <f>J220-J219</f>
        <v>15216.849999999999</v>
      </c>
    </row>
    <row r="220" spans="1:11" x14ac:dyDescent="0.3">
      <c r="A220">
        <v>2015</v>
      </c>
      <c r="B220" t="s">
        <v>47</v>
      </c>
      <c r="C220" t="s">
        <v>344</v>
      </c>
      <c r="D220" t="s">
        <v>1060</v>
      </c>
      <c r="E220" t="s">
        <v>1061</v>
      </c>
      <c r="F220" t="s">
        <v>1062</v>
      </c>
      <c r="G220" t="s">
        <v>47</v>
      </c>
      <c r="H220">
        <v>110.31</v>
      </c>
      <c r="J220" s="1">
        <v>40263.15</v>
      </c>
      <c r="K220" s="1"/>
    </row>
    <row r="221" spans="1:11" x14ac:dyDescent="0.3">
      <c r="A221">
        <v>2015</v>
      </c>
      <c r="B221" t="s">
        <v>47</v>
      </c>
      <c r="C221" t="s">
        <v>200</v>
      </c>
      <c r="D221" t="s">
        <v>1069</v>
      </c>
      <c r="E221" t="s">
        <v>1070</v>
      </c>
      <c r="F221" t="s">
        <v>1071</v>
      </c>
      <c r="G221" t="s">
        <v>47</v>
      </c>
      <c r="H221">
        <v>101.75</v>
      </c>
      <c r="J221" s="1">
        <v>37138.75</v>
      </c>
      <c r="K221" s="1">
        <f>J222-J221</f>
        <v>12680.100000000006</v>
      </c>
    </row>
    <row r="222" spans="1:11" x14ac:dyDescent="0.3">
      <c r="A222">
        <v>2015</v>
      </c>
      <c r="B222" t="s">
        <v>47</v>
      </c>
      <c r="C222" t="s">
        <v>248</v>
      </c>
      <c r="D222" t="s">
        <v>1072</v>
      </c>
      <c r="E222" t="s">
        <v>1073</v>
      </c>
      <c r="F222" t="s">
        <v>1074</v>
      </c>
      <c r="G222" t="s">
        <v>47</v>
      </c>
      <c r="H222">
        <v>136.49</v>
      </c>
      <c r="J222" s="1">
        <v>49818.850000000006</v>
      </c>
      <c r="K222" s="1"/>
    </row>
    <row r="223" spans="1:11" x14ac:dyDescent="0.3">
      <c r="A223">
        <v>2015</v>
      </c>
      <c r="B223" t="s">
        <v>47</v>
      </c>
      <c r="C223" t="s">
        <v>99</v>
      </c>
      <c r="D223" t="s">
        <v>1090</v>
      </c>
      <c r="E223" t="s">
        <v>1091</v>
      </c>
      <c r="F223" t="s">
        <v>1092</v>
      </c>
      <c r="G223" t="s">
        <v>47</v>
      </c>
      <c r="H223">
        <v>159.19999999999999</v>
      </c>
      <c r="J223" s="1">
        <v>58107.999999999993</v>
      </c>
      <c r="K223" s="1"/>
    </row>
    <row r="224" spans="1:11" x14ac:dyDescent="0.3">
      <c r="A224">
        <v>2015</v>
      </c>
      <c r="B224" t="s">
        <v>47</v>
      </c>
      <c r="C224" t="s">
        <v>286</v>
      </c>
      <c r="D224" t="s">
        <v>1093</v>
      </c>
      <c r="E224" t="s">
        <v>1094</v>
      </c>
      <c r="F224" t="s">
        <v>1095</v>
      </c>
      <c r="G224" t="s">
        <v>47</v>
      </c>
      <c r="H224">
        <v>137.33000000000001</v>
      </c>
      <c r="J224" s="1">
        <v>50125.450000000004</v>
      </c>
      <c r="K224" s="1"/>
    </row>
    <row r="225" spans="1:11" x14ac:dyDescent="0.3">
      <c r="A225">
        <v>2015</v>
      </c>
      <c r="B225" t="s">
        <v>47</v>
      </c>
      <c r="C225" t="s">
        <v>292</v>
      </c>
      <c r="D225" t="s">
        <v>1096</v>
      </c>
      <c r="E225" t="s">
        <v>1097</v>
      </c>
      <c r="F225" t="s">
        <v>1098</v>
      </c>
      <c r="G225" t="s">
        <v>47</v>
      </c>
      <c r="H225">
        <v>172.08</v>
      </c>
      <c r="J225" s="1">
        <v>62809.200000000004</v>
      </c>
      <c r="K225" s="1"/>
    </row>
    <row r="226" spans="1:11" x14ac:dyDescent="0.3">
      <c r="A226">
        <v>2015</v>
      </c>
      <c r="B226" t="s">
        <v>47</v>
      </c>
      <c r="C226" t="s">
        <v>203</v>
      </c>
      <c r="D226" t="s">
        <v>1114</v>
      </c>
      <c r="E226" t="s">
        <v>1115</v>
      </c>
      <c r="F226" t="s">
        <v>1116</v>
      </c>
      <c r="G226" t="s">
        <v>47</v>
      </c>
      <c r="H226">
        <v>204.76</v>
      </c>
      <c r="J226" s="1">
        <v>74737.399999999994</v>
      </c>
      <c r="K226" s="1"/>
    </row>
    <row r="227" spans="1:11" x14ac:dyDescent="0.3">
      <c r="A227">
        <v>2015</v>
      </c>
      <c r="B227" t="s">
        <v>47</v>
      </c>
      <c r="C227" t="s">
        <v>58</v>
      </c>
      <c r="D227" t="s">
        <v>1117</v>
      </c>
      <c r="E227" t="s">
        <v>1118</v>
      </c>
      <c r="F227" t="s">
        <v>1119</v>
      </c>
      <c r="G227" t="s">
        <v>47</v>
      </c>
      <c r="H227">
        <v>174.32</v>
      </c>
      <c r="J227" s="1">
        <v>63626.799999999996</v>
      </c>
      <c r="K227" s="1"/>
    </row>
    <row r="228" spans="1:11" x14ac:dyDescent="0.3">
      <c r="A228">
        <v>2015</v>
      </c>
      <c r="B228" t="s">
        <v>47</v>
      </c>
      <c r="C228" t="s">
        <v>138</v>
      </c>
      <c r="D228" t="s">
        <v>1120</v>
      </c>
      <c r="E228" t="s">
        <v>1121</v>
      </c>
      <c r="F228" t="s">
        <v>1122</v>
      </c>
      <c r="G228" t="s">
        <v>47</v>
      </c>
      <c r="H228">
        <v>221.2</v>
      </c>
      <c r="J228" s="1">
        <v>80738</v>
      </c>
      <c r="K228" s="1"/>
    </row>
    <row r="229" spans="1:11" x14ac:dyDescent="0.3">
      <c r="A229">
        <v>2015</v>
      </c>
      <c r="B229" t="s">
        <v>47</v>
      </c>
      <c r="C229" t="s">
        <v>356</v>
      </c>
      <c r="D229" t="s">
        <v>1138</v>
      </c>
      <c r="E229" t="s">
        <v>1139</v>
      </c>
      <c r="F229" t="s">
        <v>1140</v>
      </c>
      <c r="G229" t="s">
        <v>47</v>
      </c>
      <c r="H229">
        <v>220.46</v>
      </c>
      <c r="J229" s="1">
        <v>80467.900000000009</v>
      </c>
      <c r="K229" s="1"/>
    </row>
    <row r="230" spans="1:11" x14ac:dyDescent="0.3">
      <c r="A230">
        <v>2015</v>
      </c>
      <c r="B230" t="s">
        <v>47</v>
      </c>
      <c r="C230" t="s">
        <v>258</v>
      </c>
      <c r="D230" t="s">
        <v>1141</v>
      </c>
      <c r="E230" t="s">
        <v>1142</v>
      </c>
      <c r="F230" t="s">
        <v>1143</v>
      </c>
      <c r="G230" t="s">
        <v>47</v>
      </c>
      <c r="H230">
        <v>193.99</v>
      </c>
      <c r="J230" s="1">
        <v>70806.350000000006</v>
      </c>
      <c r="K230" s="1"/>
    </row>
    <row r="231" spans="1:11" x14ac:dyDescent="0.3">
      <c r="A231">
        <v>2015</v>
      </c>
      <c r="B231" t="s">
        <v>47</v>
      </c>
      <c r="C231" t="s">
        <v>179</v>
      </c>
      <c r="D231" t="s">
        <v>1144</v>
      </c>
      <c r="E231" t="s">
        <v>1145</v>
      </c>
      <c r="F231" t="s">
        <v>1146</v>
      </c>
      <c r="G231" t="s">
        <v>47</v>
      </c>
      <c r="H231">
        <v>240.87</v>
      </c>
      <c r="J231" s="1">
        <v>87917.55</v>
      </c>
      <c r="K231" s="1"/>
    </row>
  </sheetData>
  <sortState ref="A2:O231">
    <sortCondition descending="1" ref="M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K50"/>
  <sheetViews>
    <sheetView topLeftCell="A34" workbookViewId="0">
      <selection activeCell="K49" sqref="A1:K49"/>
    </sheetView>
  </sheetViews>
  <sheetFormatPr defaultRowHeight="14.4" x14ac:dyDescent="0.3"/>
  <cols>
    <col min="4" max="4" width="9.33203125" style="28"/>
    <col min="6" max="6" width="9.33203125" style="28"/>
  </cols>
  <sheetData>
    <row r="1" spans="1:11" ht="15.75" thickBot="1" x14ac:dyDescent="0.3">
      <c r="A1" s="6" t="s">
        <v>1161</v>
      </c>
      <c r="B1" s="7" t="s">
        <v>1161</v>
      </c>
      <c r="C1" s="7" t="s">
        <v>1253</v>
      </c>
      <c r="D1" s="7"/>
      <c r="E1" s="7" t="s">
        <v>1255</v>
      </c>
      <c r="F1" s="7"/>
      <c r="G1" s="7" t="s">
        <v>1542</v>
      </c>
      <c r="H1" s="7" t="s">
        <v>1543</v>
      </c>
      <c r="I1" s="7" t="s">
        <v>1256</v>
      </c>
      <c r="J1" s="7" t="s">
        <v>1257</v>
      </c>
      <c r="K1" s="22" t="s">
        <v>1316</v>
      </c>
    </row>
    <row r="2" spans="1:11" ht="15.75" thickBot="1" x14ac:dyDescent="0.3">
      <c r="A2" s="9"/>
      <c r="B2" s="10" t="s">
        <v>1258</v>
      </c>
      <c r="C2" s="10"/>
      <c r="D2" s="10"/>
      <c r="E2" s="10"/>
      <c r="F2" s="10"/>
      <c r="G2" s="10"/>
      <c r="H2" s="10"/>
      <c r="I2" s="10" t="s">
        <v>1261</v>
      </c>
      <c r="J2" s="10"/>
    </row>
    <row r="3" spans="1:11" ht="15.75" thickBot="1" x14ac:dyDescent="0.3">
      <c r="A3" s="12" t="s">
        <v>1263</v>
      </c>
      <c r="B3" s="13">
        <v>860</v>
      </c>
      <c r="C3" s="16">
        <v>1497</v>
      </c>
      <c r="D3" s="16"/>
      <c r="E3" s="16">
        <v>1281</v>
      </c>
      <c r="F3" s="16"/>
      <c r="G3" s="16">
        <v>10907</v>
      </c>
      <c r="H3" s="16">
        <v>10974</v>
      </c>
      <c r="I3" s="16">
        <v>3357</v>
      </c>
      <c r="J3" s="16">
        <v>28016</v>
      </c>
      <c r="K3" s="15">
        <v>24659</v>
      </c>
    </row>
    <row r="4" spans="1:11" ht="15.75" thickBot="1" x14ac:dyDescent="0.3">
      <c r="A4" s="17" t="s">
        <v>1265</v>
      </c>
      <c r="B4" s="18">
        <v>862</v>
      </c>
      <c r="C4" s="20">
        <v>1497</v>
      </c>
      <c r="D4" s="20"/>
      <c r="E4" s="20">
        <v>1281</v>
      </c>
      <c r="F4" s="20"/>
      <c r="G4" s="20">
        <v>16866</v>
      </c>
      <c r="H4" s="20">
        <v>10974</v>
      </c>
      <c r="I4" s="20">
        <v>3357</v>
      </c>
      <c r="J4" s="20">
        <v>33975</v>
      </c>
      <c r="K4" s="15">
        <v>30618</v>
      </c>
    </row>
    <row r="5" spans="1:11" ht="15.75" thickBot="1" x14ac:dyDescent="0.3">
      <c r="A5" s="12" t="s">
        <v>1266</v>
      </c>
      <c r="B5" s="13">
        <v>864</v>
      </c>
      <c r="C5" s="16">
        <v>1497</v>
      </c>
      <c r="D5" s="16"/>
      <c r="E5" s="16">
        <v>1281</v>
      </c>
      <c r="F5" s="16"/>
      <c r="G5" s="16">
        <v>22788</v>
      </c>
      <c r="H5" s="16">
        <v>10974</v>
      </c>
      <c r="I5" s="16">
        <v>3357</v>
      </c>
      <c r="J5" s="16">
        <v>39897</v>
      </c>
      <c r="K5" s="15">
        <v>36540</v>
      </c>
    </row>
    <row r="6" spans="1:11" ht="15.75" thickBot="1" x14ac:dyDescent="0.3">
      <c r="A6" s="17" t="s">
        <v>1267</v>
      </c>
      <c r="B6" s="18">
        <v>766</v>
      </c>
      <c r="C6" s="20">
        <v>8220</v>
      </c>
      <c r="D6" s="20"/>
      <c r="E6" s="20">
        <v>3845</v>
      </c>
      <c r="F6" s="20"/>
      <c r="G6" s="20">
        <v>16866</v>
      </c>
      <c r="H6" s="20">
        <v>10974</v>
      </c>
      <c r="I6" s="20">
        <v>3357</v>
      </c>
      <c r="J6" s="20">
        <v>43262</v>
      </c>
      <c r="K6" s="15">
        <v>39905</v>
      </c>
    </row>
    <row r="7" spans="1:11" ht="15.75" thickBot="1" x14ac:dyDescent="0.3">
      <c r="A7" s="12" t="s">
        <v>1268</v>
      </c>
      <c r="B7" s="13">
        <v>768</v>
      </c>
      <c r="C7" s="16">
        <v>4491</v>
      </c>
      <c r="D7" s="16"/>
      <c r="E7" s="16">
        <v>3845</v>
      </c>
      <c r="F7" s="16"/>
      <c r="G7" s="16">
        <v>22788</v>
      </c>
      <c r="H7" s="16">
        <v>13721</v>
      </c>
      <c r="I7" s="16">
        <v>3357</v>
      </c>
      <c r="J7" s="16">
        <v>48202</v>
      </c>
      <c r="K7" s="15">
        <v>44845</v>
      </c>
    </row>
    <row r="8" spans="1:11" ht="15.75" thickBot="1" x14ac:dyDescent="0.3">
      <c r="A8" s="17" t="s">
        <v>1269</v>
      </c>
      <c r="B8" s="18">
        <v>770</v>
      </c>
      <c r="C8" s="20">
        <v>12711</v>
      </c>
      <c r="D8" s="20"/>
      <c r="E8" s="20">
        <v>7690</v>
      </c>
      <c r="F8" s="20"/>
      <c r="G8" s="20">
        <v>22788</v>
      </c>
      <c r="H8" s="20">
        <v>10974</v>
      </c>
      <c r="I8" s="20">
        <v>3357</v>
      </c>
      <c r="J8" s="20">
        <v>57520</v>
      </c>
      <c r="K8" s="15">
        <v>54163</v>
      </c>
    </row>
    <row r="9" spans="1:11" ht="15.75" thickBot="1" x14ac:dyDescent="0.3">
      <c r="A9" s="12" t="s">
        <v>1270</v>
      </c>
      <c r="B9" s="13">
        <v>772</v>
      </c>
      <c r="C9" s="16">
        <v>8220</v>
      </c>
      <c r="D9" s="16"/>
      <c r="E9" s="16">
        <v>7690</v>
      </c>
      <c r="F9" s="16"/>
      <c r="G9" s="16">
        <v>35682</v>
      </c>
      <c r="H9" s="16">
        <v>13721</v>
      </c>
      <c r="I9" s="16">
        <v>3357</v>
      </c>
      <c r="J9" s="16">
        <v>68670</v>
      </c>
      <c r="K9" s="15">
        <v>65313</v>
      </c>
    </row>
    <row r="10" spans="1:11" ht="15.75" thickBot="1" x14ac:dyDescent="0.3">
      <c r="A10" s="17" t="s">
        <v>1238</v>
      </c>
      <c r="B10" s="18">
        <v>780</v>
      </c>
      <c r="C10" s="20">
        <v>4491</v>
      </c>
      <c r="D10" s="20"/>
      <c r="E10" s="18">
        <v>0</v>
      </c>
      <c r="F10" s="18"/>
      <c r="G10" s="20">
        <v>16866</v>
      </c>
      <c r="H10" s="20">
        <v>2744</v>
      </c>
      <c r="I10" s="20">
        <v>3357</v>
      </c>
      <c r="J10" s="20">
        <v>27458</v>
      </c>
      <c r="K10" s="15">
        <v>24101</v>
      </c>
    </row>
    <row r="11" spans="1:11" ht="15.75" thickBot="1" x14ac:dyDescent="0.3">
      <c r="A11" s="12" t="s">
        <v>1239</v>
      </c>
      <c r="B11" s="13">
        <v>781</v>
      </c>
      <c r="C11" s="16">
        <v>4491</v>
      </c>
      <c r="D11" s="16"/>
      <c r="E11" s="13">
        <v>0</v>
      </c>
      <c r="F11" s="13"/>
      <c r="G11" s="16">
        <v>28748</v>
      </c>
      <c r="H11" s="16">
        <v>2744</v>
      </c>
      <c r="I11" s="16">
        <v>3357</v>
      </c>
      <c r="J11" s="16">
        <v>39340</v>
      </c>
      <c r="K11" s="15">
        <v>35983</v>
      </c>
    </row>
    <row r="12" spans="1:11" ht="15.75" thickBot="1" x14ac:dyDescent="0.3">
      <c r="A12" s="17" t="s">
        <v>1240</v>
      </c>
      <c r="B12" s="18">
        <v>782</v>
      </c>
      <c r="C12" s="20">
        <v>12711</v>
      </c>
      <c r="D12" s="20"/>
      <c r="E12" s="18">
        <v>0</v>
      </c>
      <c r="F12" s="18"/>
      <c r="G12" s="20">
        <v>28748</v>
      </c>
      <c r="H12" s="20">
        <v>2744</v>
      </c>
      <c r="I12" s="20">
        <v>3357</v>
      </c>
      <c r="J12" s="20">
        <v>47560</v>
      </c>
      <c r="K12" s="15">
        <v>44203</v>
      </c>
    </row>
    <row r="13" spans="1:11" ht="15.75" thickBot="1" x14ac:dyDescent="0.3">
      <c r="A13" s="12" t="s">
        <v>1241</v>
      </c>
      <c r="B13" s="13">
        <v>783</v>
      </c>
      <c r="C13" s="16">
        <v>17176</v>
      </c>
      <c r="D13" s="16"/>
      <c r="E13" s="13">
        <v>0</v>
      </c>
      <c r="F13" s="13"/>
      <c r="G13" s="16">
        <v>35682</v>
      </c>
      <c r="H13" s="16">
        <v>5487</v>
      </c>
      <c r="I13" s="16">
        <v>3357</v>
      </c>
      <c r="J13" s="16">
        <v>61702</v>
      </c>
      <c r="K13" s="15">
        <v>58345</v>
      </c>
    </row>
    <row r="14" spans="1:11" ht="15.75" thickBot="1" x14ac:dyDescent="0.3">
      <c r="A14" s="17" t="s">
        <v>1242</v>
      </c>
      <c r="B14" s="18">
        <v>784</v>
      </c>
      <c r="C14" s="20">
        <v>17176</v>
      </c>
      <c r="D14" s="20"/>
      <c r="E14" s="18">
        <v>0</v>
      </c>
      <c r="F14" s="18"/>
      <c r="G14" s="20">
        <v>35682</v>
      </c>
      <c r="H14" s="20">
        <v>5487</v>
      </c>
      <c r="I14" s="20">
        <v>3357</v>
      </c>
      <c r="J14" s="20">
        <v>61702</v>
      </c>
      <c r="K14" s="15">
        <v>58345</v>
      </c>
    </row>
    <row r="15" spans="1:11" ht="15.75" thickBot="1" x14ac:dyDescent="0.3">
      <c r="A15" s="12" t="s">
        <v>1243</v>
      </c>
      <c r="B15" s="13">
        <v>790</v>
      </c>
      <c r="C15" s="16">
        <v>8220</v>
      </c>
      <c r="D15" s="16"/>
      <c r="E15" s="13">
        <v>0</v>
      </c>
      <c r="F15" s="13"/>
      <c r="G15" s="16">
        <v>35682</v>
      </c>
      <c r="H15" s="16">
        <v>8232</v>
      </c>
      <c r="I15" s="16">
        <v>3357</v>
      </c>
      <c r="J15" s="16">
        <v>55491</v>
      </c>
      <c r="K15" s="15">
        <v>52134</v>
      </c>
    </row>
    <row r="16" spans="1:11" ht="15.75" thickBot="1" x14ac:dyDescent="0.3">
      <c r="A16" s="17" t="s">
        <v>1230</v>
      </c>
      <c r="B16" s="18">
        <v>800</v>
      </c>
      <c r="C16" s="20">
        <v>4491</v>
      </c>
      <c r="D16" s="20"/>
      <c r="E16" s="18">
        <v>0</v>
      </c>
      <c r="F16" s="18"/>
      <c r="G16" s="20">
        <v>10907</v>
      </c>
      <c r="H16" s="20">
        <v>13721</v>
      </c>
      <c r="I16" s="20">
        <v>3357</v>
      </c>
      <c r="J16" s="20">
        <v>32476</v>
      </c>
      <c r="K16" s="15">
        <v>29119</v>
      </c>
    </row>
    <row r="17" spans="1:11" ht="15.75" thickBot="1" x14ac:dyDescent="0.3">
      <c r="A17" s="12" t="s">
        <v>1231</v>
      </c>
      <c r="B17" s="13">
        <v>802</v>
      </c>
      <c r="C17" s="16">
        <v>4491</v>
      </c>
      <c r="D17" s="16"/>
      <c r="E17" s="13">
        <v>0</v>
      </c>
      <c r="F17" s="13"/>
      <c r="G17" s="16">
        <v>16866</v>
      </c>
      <c r="H17" s="16">
        <v>13721</v>
      </c>
      <c r="I17" s="16">
        <v>3357</v>
      </c>
      <c r="J17" s="16">
        <v>38435</v>
      </c>
      <c r="K17" s="15">
        <v>35078</v>
      </c>
    </row>
    <row r="18" spans="1:11" ht="15.75" thickBot="1" x14ac:dyDescent="0.3">
      <c r="A18" s="17" t="s">
        <v>1232</v>
      </c>
      <c r="B18" s="18">
        <v>804</v>
      </c>
      <c r="C18" s="20">
        <v>1497</v>
      </c>
      <c r="D18" s="20"/>
      <c r="E18" s="18">
        <v>0</v>
      </c>
      <c r="F18" s="18"/>
      <c r="G18" s="20">
        <v>22788</v>
      </c>
      <c r="H18" s="20">
        <v>16170</v>
      </c>
      <c r="I18" s="20">
        <v>3357</v>
      </c>
      <c r="J18" s="20">
        <v>43812</v>
      </c>
      <c r="K18" s="15">
        <v>40455</v>
      </c>
    </row>
    <row r="19" spans="1:11" ht="15.75" thickBot="1" x14ac:dyDescent="0.3">
      <c r="A19" s="12" t="s">
        <v>1233</v>
      </c>
      <c r="B19" s="13">
        <v>806</v>
      </c>
      <c r="C19" s="16">
        <v>4491</v>
      </c>
      <c r="D19" s="16"/>
      <c r="E19" s="16">
        <v>1281</v>
      </c>
      <c r="F19" s="16"/>
      <c r="G19" s="16">
        <v>22788</v>
      </c>
      <c r="H19" s="16">
        <v>16170</v>
      </c>
      <c r="I19" s="16">
        <v>3357</v>
      </c>
      <c r="J19" s="16">
        <v>48087</v>
      </c>
      <c r="K19" s="15">
        <v>44730</v>
      </c>
    </row>
    <row r="20" spans="1:11" ht="15.75" thickBot="1" x14ac:dyDescent="0.3">
      <c r="A20" s="17" t="s">
        <v>1234</v>
      </c>
      <c r="B20" s="18">
        <v>808</v>
      </c>
      <c r="C20" s="20">
        <v>12711</v>
      </c>
      <c r="D20" s="20"/>
      <c r="E20" s="20">
        <v>3845</v>
      </c>
      <c r="F20" s="20"/>
      <c r="G20" s="20">
        <v>22788</v>
      </c>
      <c r="H20" s="20">
        <v>18622</v>
      </c>
      <c r="I20" s="20">
        <v>3357</v>
      </c>
      <c r="J20" s="20">
        <v>61323</v>
      </c>
      <c r="K20" s="15">
        <v>57966</v>
      </c>
    </row>
    <row r="21" spans="1:11" ht="15.75" thickBot="1" x14ac:dyDescent="0.3">
      <c r="A21" s="12" t="s">
        <v>1235</v>
      </c>
      <c r="B21" s="13">
        <v>810</v>
      </c>
      <c r="C21" s="16">
        <v>4491</v>
      </c>
      <c r="D21" s="16"/>
      <c r="E21" s="13">
        <v>0</v>
      </c>
      <c r="F21" s="13"/>
      <c r="G21" s="16">
        <v>28748</v>
      </c>
      <c r="H21" s="16">
        <v>21072</v>
      </c>
      <c r="I21" s="16">
        <v>3357</v>
      </c>
      <c r="J21" s="16">
        <v>57668</v>
      </c>
      <c r="K21" s="15">
        <v>54311</v>
      </c>
    </row>
    <row r="22" spans="1:11" ht="15.75" thickBot="1" x14ac:dyDescent="0.3">
      <c r="A22" s="17" t="s">
        <v>1236</v>
      </c>
      <c r="B22" s="18">
        <v>812</v>
      </c>
      <c r="C22" s="20">
        <v>12711</v>
      </c>
      <c r="D22" s="20"/>
      <c r="E22" s="20">
        <v>1281</v>
      </c>
      <c r="F22" s="20"/>
      <c r="G22" s="20">
        <v>35682</v>
      </c>
      <c r="H22" s="20">
        <v>23523</v>
      </c>
      <c r="I22" s="20">
        <v>3357</v>
      </c>
      <c r="J22" s="20">
        <v>76554</v>
      </c>
      <c r="K22" s="15">
        <v>73197</v>
      </c>
    </row>
    <row r="23" spans="1:11" ht="15.75" thickBot="1" x14ac:dyDescent="0.3">
      <c r="A23" s="12" t="s">
        <v>1237</v>
      </c>
      <c r="B23" s="13">
        <v>814</v>
      </c>
      <c r="C23" s="16">
        <v>26894</v>
      </c>
      <c r="D23" s="16"/>
      <c r="E23" s="16">
        <v>7690</v>
      </c>
      <c r="F23" s="16"/>
      <c r="G23" s="16">
        <v>10907</v>
      </c>
      <c r="H23" s="16">
        <v>18622</v>
      </c>
      <c r="I23" s="16">
        <v>3357</v>
      </c>
      <c r="J23" s="16">
        <v>67470</v>
      </c>
      <c r="K23" s="15">
        <v>64113</v>
      </c>
    </row>
    <row r="24" spans="1:11" ht="15.75" thickBot="1" x14ac:dyDescent="0.3">
      <c r="A24" s="17" t="s">
        <v>1198</v>
      </c>
      <c r="B24" s="18">
        <v>820</v>
      </c>
      <c r="C24" s="20">
        <v>4491</v>
      </c>
      <c r="D24" s="20"/>
      <c r="E24" s="20">
        <v>1281</v>
      </c>
      <c r="F24" s="20"/>
      <c r="G24" s="20">
        <v>16866</v>
      </c>
      <c r="H24" s="20">
        <v>16170</v>
      </c>
      <c r="I24" s="20">
        <v>3357</v>
      </c>
      <c r="J24" s="20">
        <v>42165</v>
      </c>
      <c r="K24" s="15">
        <v>38808</v>
      </c>
    </row>
    <row r="25" spans="1:11" ht="15.75" thickBot="1" x14ac:dyDescent="0.3">
      <c r="A25" s="12" t="s">
        <v>1199</v>
      </c>
      <c r="B25" s="13">
        <v>822</v>
      </c>
      <c r="C25" s="16">
        <v>12711</v>
      </c>
      <c r="D25" s="16"/>
      <c r="E25" s="16">
        <v>1281</v>
      </c>
      <c r="F25" s="16"/>
      <c r="G25" s="16">
        <v>16866</v>
      </c>
      <c r="H25" s="16">
        <v>16170</v>
      </c>
      <c r="I25" s="16">
        <v>3357</v>
      </c>
      <c r="J25" s="16">
        <v>50385</v>
      </c>
      <c r="K25" s="15">
        <v>47028</v>
      </c>
    </row>
    <row r="26" spans="1:11" ht="15.75" thickBot="1" x14ac:dyDescent="0.3">
      <c r="A26" s="17" t="s">
        <v>1200</v>
      </c>
      <c r="B26" s="18">
        <v>824</v>
      </c>
      <c r="C26" s="20">
        <v>12711</v>
      </c>
      <c r="D26" s="20"/>
      <c r="E26" s="20">
        <v>1281</v>
      </c>
      <c r="F26" s="20"/>
      <c r="G26" s="20">
        <v>10907</v>
      </c>
      <c r="H26" s="20">
        <v>18622</v>
      </c>
      <c r="I26" s="20">
        <v>3357</v>
      </c>
      <c r="J26" s="20">
        <v>46878</v>
      </c>
      <c r="K26" s="15">
        <v>43521</v>
      </c>
    </row>
    <row r="27" spans="1:11" ht="15.75" thickBot="1" x14ac:dyDescent="0.3">
      <c r="A27" s="12" t="s">
        <v>1201</v>
      </c>
      <c r="B27" s="13">
        <v>826</v>
      </c>
      <c r="C27" s="16">
        <v>12711</v>
      </c>
      <c r="D27" s="16"/>
      <c r="E27" s="16">
        <v>1281</v>
      </c>
      <c r="F27" s="16"/>
      <c r="G27" s="16">
        <v>16866</v>
      </c>
      <c r="H27" s="16">
        <v>16170</v>
      </c>
      <c r="I27" s="16">
        <v>3357</v>
      </c>
      <c r="J27" s="16">
        <v>50385</v>
      </c>
      <c r="K27" s="15">
        <v>47028</v>
      </c>
    </row>
    <row r="28" spans="1:11" ht="15.75" thickBot="1" x14ac:dyDescent="0.3">
      <c r="A28" s="17" t="s">
        <v>1202</v>
      </c>
      <c r="B28" s="18">
        <v>828</v>
      </c>
      <c r="C28" s="20">
        <v>17176</v>
      </c>
      <c r="D28" s="20"/>
      <c r="E28" s="20">
        <v>3845</v>
      </c>
      <c r="F28" s="20"/>
      <c r="G28" s="20">
        <v>16866</v>
      </c>
      <c r="H28" s="20">
        <v>18622</v>
      </c>
      <c r="I28" s="20">
        <v>3357</v>
      </c>
      <c r="J28" s="20">
        <v>59866</v>
      </c>
      <c r="K28" s="15">
        <v>56509</v>
      </c>
    </row>
    <row r="29" spans="1:11" ht="15.75" thickBot="1" x14ac:dyDescent="0.3">
      <c r="A29" s="12" t="s">
        <v>1203</v>
      </c>
      <c r="B29" s="13">
        <v>830</v>
      </c>
      <c r="C29" s="16">
        <v>21667</v>
      </c>
      <c r="D29" s="16"/>
      <c r="E29" s="16">
        <v>7690</v>
      </c>
      <c r="F29" s="16"/>
      <c r="G29" s="16">
        <v>16866</v>
      </c>
      <c r="H29" s="16">
        <v>16170</v>
      </c>
      <c r="I29" s="16">
        <v>3357</v>
      </c>
      <c r="J29" s="16">
        <v>65750</v>
      </c>
      <c r="K29" s="15">
        <v>62393</v>
      </c>
    </row>
    <row r="30" spans="1:11" ht="15.75" thickBot="1" x14ac:dyDescent="0.3">
      <c r="A30" s="17" t="s">
        <v>1204</v>
      </c>
      <c r="B30" s="18">
        <v>832</v>
      </c>
      <c r="C30" s="20">
        <v>21667</v>
      </c>
      <c r="D30" s="20"/>
      <c r="E30" s="20">
        <v>7690</v>
      </c>
      <c r="F30" s="20"/>
      <c r="G30" s="20">
        <v>22788</v>
      </c>
      <c r="H30" s="20">
        <v>13721</v>
      </c>
      <c r="I30" s="20">
        <v>3357</v>
      </c>
      <c r="J30" s="20">
        <v>69223</v>
      </c>
      <c r="K30" s="15">
        <v>65866</v>
      </c>
    </row>
    <row r="31" spans="1:11" ht="15.75" thickBot="1" x14ac:dyDescent="0.3">
      <c r="A31" s="12" t="s">
        <v>1209</v>
      </c>
      <c r="B31" s="13">
        <v>840</v>
      </c>
      <c r="C31" s="16">
        <v>4491</v>
      </c>
      <c r="D31" s="16"/>
      <c r="E31" s="13">
        <v>0</v>
      </c>
      <c r="F31" s="13"/>
      <c r="G31" s="16">
        <v>10907</v>
      </c>
      <c r="H31" s="16">
        <v>16170</v>
      </c>
      <c r="I31" s="16">
        <v>3357</v>
      </c>
      <c r="J31" s="16">
        <v>34925</v>
      </c>
      <c r="K31" s="15">
        <v>31568</v>
      </c>
    </row>
    <row r="32" spans="1:11" ht="15.75" thickBot="1" x14ac:dyDescent="0.3">
      <c r="A32" s="17" t="s">
        <v>1210</v>
      </c>
      <c r="B32" s="18">
        <v>842</v>
      </c>
      <c r="C32" s="20">
        <v>4491</v>
      </c>
      <c r="D32" s="20"/>
      <c r="E32" s="18">
        <v>0</v>
      </c>
      <c r="F32" s="18"/>
      <c r="G32" s="20">
        <v>22788</v>
      </c>
      <c r="H32" s="20">
        <v>13721</v>
      </c>
      <c r="I32" s="20">
        <v>3357</v>
      </c>
      <c r="J32" s="20">
        <v>44357</v>
      </c>
      <c r="K32" s="15">
        <v>41000</v>
      </c>
    </row>
    <row r="33" spans="1:11" ht="15.75" thickBot="1" x14ac:dyDescent="0.3">
      <c r="A33" s="12" t="s">
        <v>1211</v>
      </c>
      <c r="B33" s="13">
        <v>844</v>
      </c>
      <c r="C33" s="16">
        <v>8220</v>
      </c>
      <c r="D33" s="16"/>
      <c r="E33" s="16">
        <v>3845</v>
      </c>
      <c r="F33" s="16"/>
      <c r="G33" s="16">
        <v>22788</v>
      </c>
      <c r="H33" s="16">
        <v>13721</v>
      </c>
      <c r="I33" s="16">
        <v>3357</v>
      </c>
      <c r="J33" s="16">
        <v>51931</v>
      </c>
      <c r="K33" s="15">
        <v>48574</v>
      </c>
    </row>
    <row r="34" spans="1:11" ht="15.75" thickBot="1" x14ac:dyDescent="0.3">
      <c r="A34" s="17" t="s">
        <v>1212</v>
      </c>
      <c r="B34" s="18">
        <v>846</v>
      </c>
      <c r="C34" s="20">
        <v>21667</v>
      </c>
      <c r="D34" s="20"/>
      <c r="E34" s="20">
        <v>3845</v>
      </c>
      <c r="F34" s="20"/>
      <c r="G34" s="20">
        <v>22788</v>
      </c>
      <c r="H34" s="20">
        <v>18622</v>
      </c>
      <c r="I34" s="20">
        <v>3357</v>
      </c>
      <c r="J34" s="20">
        <v>70279</v>
      </c>
      <c r="K34" s="15">
        <v>66922</v>
      </c>
    </row>
    <row r="35" spans="1:11" ht="15.75" thickBot="1" x14ac:dyDescent="0.3">
      <c r="A35" s="12" t="s">
        <v>1213</v>
      </c>
      <c r="B35" s="13">
        <v>848</v>
      </c>
      <c r="C35" s="16">
        <v>21667</v>
      </c>
      <c r="D35" s="16"/>
      <c r="E35" s="16">
        <v>3845</v>
      </c>
      <c r="F35" s="16"/>
      <c r="G35" s="16">
        <v>28748</v>
      </c>
      <c r="H35" s="16">
        <v>18622</v>
      </c>
      <c r="I35" s="16">
        <v>3357</v>
      </c>
      <c r="J35" s="16">
        <v>76239</v>
      </c>
      <c r="K35" s="15">
        <v>72882</v>
      </c>
    </row>
    <row r="36" spans="1:11" ht="15.75" thickBot="1" x14ac:dyDescent="0.3">
      <c r="A36" s="17" t="s">
        <v>1205</v>
      </c>
      <c r="B36" s="18">
        <v>850</v>
      </c>
      <c r="C36" s="20">
        <v>1497</v>
      </c>
      <c r="D36" s="20"/>
      <c r="E36" s="18">
        <v>0</v>
      </c>
      <c r="F36" s="18"/>
      <c r="G36" s="20">
        <v>22788</v>
      </c>
      <c r="H36" s="20">
        <v>21072</v>
      </c>
      <c r="I36" s="20">
        <v>3357</v>
      </c>
      <c r="J36" s="20">
        <v>48714</v>
      </c>
      <c r="K36" s="15">
        <v>45357</v>
      </c>
    </row>
    <row r="37" spans="1:11" ht="15.75" thickBot="1" x14ac:dyDescent="0.3">
      <c r="A37" s="12" t="s">
        <v>1206</v>
      </c>
      <c r="B37" s="13">
        <v>852</v>
      </c>
      <c r="C37" s="16">
        <v>17176</v>
      </c>
      <c r="D37" s="16"/>
      <c r="E37" s="16">
        <v>7690</v>
      </c>
      <c r="F37" s="16"/>
      <c r="G37" s="16">
        <v>35682</v>
      </c>
      <c r="H37" s="34">
        <v>23523</v>
      </c>
      <c r="I37" s="21">
        <v>3357</v>
      </c>
      <c r="J37" s="16">
        <v>87428</v>
      </c>
      <c r="K37" s="15">
        <v>84071</v>
      </c>
    </row>
    <row r="38" spans="1:11" ht="15.75" thickBot="1" x14ac:dyDescent="0.3">
      <c r="A38" s="17" t="s">
        <v>1207</v>
      </c>
      <c r="B38" s="18">
        <v>854</v>
      </c>
      <c r="C38" s="20">
        <v>26894</v>
      </c>
      <c r="D38" s="20"/>
      <c r="E38" s="20">
        <v>14099</v>
      </c>
      <c r="F38" s="20"/>
      <c r="G38" s="20">
        <v>35682</v>
      </c>
      <c r="H38" s="20">
        <v>23523</v>
      </c>
      <c r="I38" s="20">
        <v>3357</v>
      </c>
      <c r="J38" s="20">
        <v>103555</v>
      </c>
      <c r="K38" s="15">
        <v>100198</v>
      </c>
    </row>
    <row r="39" spans="1:11" ht="15.75" thickBot="1" x14ac:dyDescent="0.3">
      <c r="A39" s="12" t="s">
        <v>1208</v>
      </c>
      <c r="B39" s="13">
        <v>856</v>
      </c>
      <c r="C39" s="16">
        <v>8220</v>
      </c>
      <c r="D39" s="16"/>
      <c r="E39" s="13">
        <v>0</v>
      </c>
      <c r="F39" s="13"/>
      <c r="G39" s="16">
        <v>35682</v>
      </c>
      <c r="H39" s="16">
        <v>18622</v>
      </c>
      <c r="I39" s="16">
        <v>3357</v>
      </c>
      <c r="J39" s="16">
        <v>65881</v>
      </c>
      <c r="K39" s="15">
        <v>62524</v>
      </c>
    </row>
    <row r="40" spans="1:11" ht="15.75" thickBot="1" x14ac:dyDescent="0.3">
      <c r="A40" s="12" t="s">
        <v>1214</v>
      </c>
      <c r="B40" s="13">
        <v>750</v>
      </c>
      <c r="C40" s="16">
        <v>1497</v>
      </c>
      <c r="D40" s="16"/>
      <c r="E40" s="16">
        <v>3845</v>
      </c>
      <c r="F40" s="16"/>
      <c r="G40" s="16">
        <v>5959</v>
      </c>
      <c r="H40" s="13">
        <v>0</v>
      </c>
      <c r="I40" s="16">
        <v>3357</v>
      </c>
      <c r="J40" s="16">
        <v>14658</v>
      </c>
      <c r="K40" s="15">
        <v>11301</v>
      </c>
    </row>
    <row r="41" spans="1:11" ht="15.75" thickBot="1" x14ac:dyDescent="0.3">
      <c r="A41" s="12" t="s">
        <v>1215</v>
      </c>
      <c r="B41" s="13">
        <v>751</v>
      </c>
      <c r="C41" s="16">
        <v>8220</v>
      </c>
      <c r="D41" s="16"/>
      <c r="E41" s="16">
        <v>7690</v>
      </c>
      <c r="F41" s="16"/>
      <c r="G41" s="16">
        <v>1987</v>
      </c>
      <c r="H41" s="13">
        <v>0</v>
      </c>
      <c r="I41" s="16">
        <v>3357</v>
      </c>
      <c r="J41" s="16">
        <v>21254</v>
      </c>
      <c r="K41" s="15">
        <v>17897</v>
      </c>
    </row>
    <row r="42" spans="1:11" ht="15.75" thickBot="1" x14ac:dyDescent="0.3">
      <c r="A42" s="12" t="s">
        <v>1216</v>
      </c>
      <c r="B42" s="13">
        <v>752</v>
      </c>
      <c r="C42" s="16">
        <v>12711</v>
      </c>
      <c r="D42" s="16"/>
      <c r="E42" s="16">
        <v>3845</v>
      </c>
      <c r="F42" s="16"/>
      <c r="G42" s="16">
        <v>5959</v>
      </c>
      <c r="H42" s="13">
        <v>0</v>
      </c>
      <c r="I42" s="16">
        <v>3357</v>
      </c>
      <c r="J42" s="16">
        <v>25872</v>
      </c>
      <c r="K42" s="15">
        <v>22515</v>
      </c>
    </row>
    <row r="43" spans="1:11" ht="15.75" thickBot="1" x14ac:dyDescent="0.3">
      <c r="A43" s="12" t="s">
        <v>1217</v>
      </c>
      <c r="B43" s="13">
        <v>753</v>
      </c>
      <c r="C43" s="16">
        <v>12711</v>
      </c>
      <c r="D43" s="16"/>
      <c r="E43" s="16">
        <v>7690</v>
      </c>
      <c r="F43" s="16"/>
      <c r="G43" s="16">
        <v>10907</v>
      </c>
      <c r="H43" s="13">
        <v>0</v>
      </c>
      <c r="I43" s="16">
        <v>3357</v>
      </c>
      <c r="J43" s="16">
        <v>34665</v>
      </c>
      <c r="K43" s="15">
        <v>31308</v>
      </c>
    </row>
    <row r="44" spans="1:11" ht="15.75" thickBot="1" x14ac:dyDescent="0.3">
      <c r="A44" s="12" t="s">
        <v>1218</v>
      </c>
      <c r="B44" s="13">
        <v>754</v>
      </c>
      <c r="C44" s="16">
        <v>12711</v>
      </c>
      <c r="D44" s="16"/>
      <c r="E44" s="16">
        <v>14099</v>
      </c>
      <c r="F44" s="16"/>
      <c r="G44" s="16">
        <v>16866</v>
      </c>
      <c r="H44" s="13">
        <v>0</v>
      </c>
      <c r="I44" s="16">
        <v>3357</v>
      </c>
      <c r="J44" s="16">
        <v>47033</v>
      </c>
      <c r="K44" s="15">
        <v>43676</v>
      </c>
    </row>
    <row r="45" spans="1:11" ht="15.75" thickBot="1" x14ac:dyDescent="0.3">
      <c r="A45" s="12" t="s">
        <v>1219</v>
      </c>
      <c r="B45" s="13">
        <v>755</v>
      </c>
      <c r="C45" s="16">
        <v>12711</v>
      </c>
      <c r="D45" s="16"/>
      <c r="E45" s="16">
        <v>14099</v>
      </c>
      <c r="F45" s="16"/>
      <c r="G45" s="16">
        <v>16866</v>
      </c>
      <c r="H45" s="13">
        <v>0</v>
      </c>
      <c r="I45" s="16">
        <v>3357</v>
      </c>
      <c r="J45" s="16">
        <v>47033</v>
      </c>
      <c r="K45" s="15">
        <v>43676</v>
      </c>
    </row>
    <row r="46" spans="1:11" ht="15.75" thickBot="1" x14ac:dyDescent="0.3">
      <c r="A46" s="12" t="s">
        <v>1220</v>
      </c>
      <c r="B46" s="13">
        <v>756</v>
      </c>
      <c r="C46" s="16">
        <v>12711</v>
      </c>
      <c r="D46" s="16"/>
      <c r="E46" s="16">
        <v>14099</v>
      </c>
      <c r="F46" s="16"/>
      <c r="G46" s="16">
        <v>28748</v>
      </c>
      <c r="H46" s="13">
        <v>0</v>
      </c>
      <c r="I46" s="16">
        <v>3357</v>
      </c>
      <c r="J46" s="16">
        <v>58915</v>
      </c>
      <c r="K46" s="15">
        <v>55558</v>
      </c>
    </row>
    <row r="47" spans="1:11" ht="15.75" thickBot="1" x14ac:dyDescent="0.3">
      <c r="A47" s="12" t="s">
        <v>1221</v>
      </c>
      <c r="B47" s="13">
        <v>757</v>
      </c>
      <c r="C47" s="16">
        <v>17176</v>
      </c>
      <c r="D47" s="16"/>
      <c r="E47" s="16">
        <v>14099</v>
      </c>
      <c r="F47" s="16"/>
      <c r="G47" s="16">
        <v>35682</v>
      </c>
      <c r="H47" s="13">
        <v>0</v>
      </c>
      <c r="I47" s="16">
        <v>3357</v>
      </c>
      <c r="J47" s="16">
        <v>70314</v>
      </c>
      <c r="K47" s="15">
        <v>66957</v>
      </c>
    </row>
    <row r="48" spans="1:11" ht="15.75" thickBot="1" x14ac:dyDescent="0.3">
      <c r="A48" s="12" t="s">
        <v>1262</v>
      </c>
      <c r="B48" s="13">
        <v>191</v>
      </c>
      <c r="C48" s="16">
        <v>17176</v>
      </c>
      <c r="D48" s="16"/>
      <c r="E48" s="16">
        <v>7690</v>
      </c>
      <c r="F48" s="16"/>
      <c r="G48" s="16">
        <v>16866</v>
      </c>
      <c r="H48" s="13">
        <v>0</v>
      </c>
      <c r="I48" s="16">
        <v>3357</v>
      </c>
      <c r="J48" s="16">
        <v>45089</v>
      </c>
      <c r="K48" s="15">
        <v>41732</v>
      </c>
    </row>
    <row r="49" spans="1:11" ht="15.75" thickBot="1" x14ac:dyDescent="0.3">
      <c r="A49" s="12" t="s">
        <v>1223</v>
      </c>
      <c r="B49" s="13">
        <v>759</v>
      </c>
      <c r="C49" s="16">
        <v>26894</v>
      </c>
      <c r="D49" s="16"/>
      <c r="E49" s="16">
        <v>29480</v>
      </c>
      <c r="F49" s="16"/>
      <c r="G49" s="16">
        <v>16866</v>
      </c>
      <c r="H49" s="13">
        <v>0</v>
      </c>
      <c r="I49" s="16">
        <v>3357</v>
      </c>
      <c r="J49" s="16">
        <v>76597</v>
      </c>
      <c r="K49" s="15">
        <v>73240</v>
      </c>
    </row>
    <row r="50" spans="1:11" ht="15" x14ac:dyDescent="0.25">
      <c r="H50" s="27"/>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F13352BD72884D88BBD7C708B76EE0" ma:contentTypeVersion="0" ma:contentTypeDescription="Een nieuw document maken." ma:contentTypeScope="" ma:versionID="40c6f2c21e1731c4a1907ce04416fc7a">
  <xsd:schema xmlns:xsd="http://www.w3.org/2001/XMLSchema" xmlns:xs="http://www.w3.org/2001/XMLSchema" xmlns:p="http://schemas.microsoft.com/office/2006/metadata/properties" targetNamespace="http://schemas.microsoft.com/office/2006/metadata/properties" ma:root="true" ma:fieldsID="a17e5968c79d9fe2fc9f8835eee23f5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10A2C4-9AB6-4A11-921C-13A9961174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F4B005E-3563-4EBF-9756-210A88E81BD7}">
  <ds:schemaRefs>
    <ds:schemaRef ds:uri="http://schemas.microsoft.com/sharepoint/v3/contenttype/forms"/>
  </ds:schemaRefs>
</ds:datastoreItem>
</file>

<file path=customXml/itemProps3.xml><?xml version="1.0" encoding="utf-8"?>
<ds:datastoreItem xmlns:ds="http://schemas.openxmlformats.org/officeDocument/2006/customXml" ds:itemID="{76983509-F5B4-4FB5-BE4A-0C8960A47A1C}">
  <ds:schemaRefs>
    <ds:schemaRef ds:uri="http://purl.org/dc/dcmitype/"/>
    <ds:schemaRef ds:uri="http://schemas.microsoft.com/office/infopath/2007/PartnerControls"/>
    <ds:schemaRef ds:uri="http://schemas.microsoft.com/office/2006/documentManagement/types"/>
    <ds:schemaRef ds:uri="http://purl.org/dc/term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31</vt:i4>
      </vt:variant>
      <vt:variant>
        <vt:lpstr>Benoemde bereiken</vt:lpstr>
      </vt:variant>
      <vt:variant>
        <vt:i4>50</vt:i4>
      </vt:variant>
    </vt:vector>
  </HeadingPairs>
  <TitlesOfParts>
    <vt:vector size="81" baseType="lpstr">
      <vt:lpstr>Adviesformulier</vt:lpstr>
      <vt:lpstr>Rekenblad</vt:lpstr>
      <vt:lpstr>Lijst codes</vt:lpstr>
      <vt:lpstr>koppel ZZP budget</vt:lpstr>
      <vt:lpstr>Alles</vt:lpstr>
      <vt:lpstr>VPT</vt:lpstr>
      <vt:lpstr>ZZP</vt:lpstr>
      <vt:lpstr>VPT en ZZP</vt:lpstr>
      <vt:lpstr>PGB Bron</vt:lpstr>
      <vt:lpstr>PGB (2)</vt:lpstr>
      <vt:lpstr>Blad3</vt:lpstr>
      <vt:lpstr>Blad4</vt:lpstr>
      <vt:lpstr>Blad6</vt:lpstr>
      <vt:lpstr>Blad5</vt:lpstr>
      <vt:lpstr>Blad1</vt:lpstr>
      <vt:lpstr>Blad9</vt:lpstr>
      <vt:lpstr>Werkwijze rekenmodule</vt:lpstr>
      <vt:lpstr>Blad2</vt:lpstr>
      <vt:lpstr>Blad7</vt:lpstr>
      <vt:lpstr>Blad8</vt:lpstr>
      <vt:lpstr>Meerzorg onderbouwing</vt:lpstr>
      <vt:lpstr>PGB tarieven</vt:lpstr>
      <vt:lpstr>Tarieven ZIN prestaties</vt:lpstr>
      <vt:lpstr>Blad12</vt:lpstr>
      <vt:lpstr>Blad11</vt:lpstr>
      <vt:lpstr>Urentabel meerzorg</vt:lpstr>
      <vt:lpstr>Tarieven VPT</vt:lpstr>
      <vt:lpstr>Tarieven ZZP</vt:lpstr>
      <vt:lpstr>Ruimte behandeling basis MPT</vt:lpstr>
      <vt:lpstr>Pct verd. VBL dagbesteding</vt:lpstr>
      <vt:lpstr>Pct verd. VPT dagbesteding</vt:lpstr>
      <vt:lpstr>BGgrp</vt:lpstr>
      <vt:lpstr>BGind</vt:lpstr>
      <vt:lpstr>BHd</vt:lpstr>
      <vt:lpstr>BHgrp</vt:lpstr>
      <vt:lpstr>BHind</vt:lpstr>
      <vt:lpstr>BHindi</vt:lpstr>
      <vt:lpstr>Dagbesteding</vt:lpstr>
      <vt:lpstr>groep</vt:lpstr>
      <vt:lpstr>jan</vt:lpstr>
      <vt:lpstr>Keuze</vt:lpstr>
      <vt:lpstr>LG</vt:lpstr>
      <vt:lpstr>Licht</vt:lpstr>
      <vt:lpstr>Lijst1</vt:lpstr>
      <vt:lpstr>Lijst2</vt:lpstr>
      <vt:lpstr>Lijst3</vt:lpstr>
      <vt:lpstr>Lijst4</vt:lpstr>
      <vt:lpstr>Logeren</vt:lpstr>
      <vt:lpstr>Midden</vt:lpstr>
      <vt:lpstr>MPT</vt:lpstr>
      <vt:lpstr>Niet</vt:lpstr>
      <vt:lpstr>Opname</vt:lpstr>
      <vt:lpstr>Opname2</vt:lpstr>
      <vt:lpstr>opnamelgverblijfsprestatie</vt:lpstr>
      <vt:lpstr>opnamepgverblijfsprestatie</vt:lpstr>
      <vt:lpstr>opnamesomverblijfsprestatie</vt:lpstr>
      <vt:lpstr>opnamevgverblijfsprestatie</vt:lpstr>
      <vt:lpstr>opnamezgverblijfsprestatie</vt:lpstr>
      <vt:lpstr>Overbruggingszorg</vt:lpstr>
      <vt:lpstr>PA</vt:lpstr>
      <vt:lpstr>PG</vt:lpstr>
      <vt:lpstr>PV</vt:lpstr>
      <vt:lpstr>Schoonmaak</vt:lpstr>
      <vt:lpstr>SOM</vt:lpstr>
      <vt:lpstr>Verblijf</vt:lpstr>
      <vt:lpstr>Verblijf2</vt:lpstr>
      <vt:lpstr>verblijfzgverblijfsprestatie</vt:lpstr>
      <vt:lpstr>Vervoer</vt:lpstr>
      <vt:lpstr>VG</vt:lpstr>
      <vt:lpstr>VolPT2</vt:lpstr>
      <vt:lpstr>VP</vt:lpstr>
      <vt:lpstr>VPT</vt:lpstr>
      <vt:lpstr>vptlgvptprestatie</vt:lpstr>
      <vt:lpstr>vptpgvptprestatie</vt:lpstr>
      <vt:lpstr>vptsomvptprestatie</vt:lpstr>
      <vt:lpstr>vptvgvptprestatie</vt:lpstr>
      <vt:lpstr>vptzgvptprestatie</vt:lpstr>
      <vt:lpstr>wel</vt:lpstr>
      <vt:lpstr>ZG</vt:lpstr>
      <vt:lpstr>Zwaar</vt:lpstr>
      <vt:lpstr>ZZP</vt:lpstr>
    </vt:vector>
  </TitlesOfParts>
  <Company>ACHMEA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Adviesformulier en rekenmodule 2017 versie 19 januari 2017 met macro's</dc:title>
  <dc:subject>Adviesformulier en rekenmodule 2017 versie 19 januari 2017 met macro's</dc:subject>
  <dc:creator>Zorgverzekeraars Nederland</dc:creator>
  <cp:keywords>Adviesformulier 2017, rekenmodule 2017, basisbudget zorgprofiel, verantwoorde zorg thuis, meerzorg</cp:keywords>
  <cp:lastModifiedBy>Kooistra, M (Merly)</cp:lastModifiedBy>
  <cp:lastPrinted>2016-12-14T19:38:53Z</cp:lastPrinted>
  <dcterms:created xsi:type="dcterms:W3CDTF">2015-04-08T07:31:11Z</dcterms:created>
  <dcterms:modified xsi:type="dcterms:W3CDTF">2019-01-03T15:06:19Z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0x01010069F13352BD72884D88BBD7C708B76EE0</vt:lpwstr>
  </property>
</Properties>
</file>